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jh4g13\OneDrive\Documents\PhD\Working file\Sr separation (main folder)\Data\LSC Data\CT30\"/>
    </mc:Choice>
  </mc:AlternateContent>
  <bookViews>
    <workbookView xWindow="0" yWindow="0" windowWidth="19305" windowHeight="8085"/>
  </bookViews>
  <sheets>
    <sheet name="CT30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22" i="1" l="1"/>
  <c r="Y22" i="1"/>
  <c r="Z2" i="1"/>
  <c r="Y2" i="1"/>
  <c r="W2" i="1"/>
  <c r="U22" i="1"/>
  <c r="U2" i="1"/>
  <c r="P22" i="1"/>
  <c r="P2" i="1"/>
  <c r="N22" i="1"/>
  <c r="N2" i="1"/>
  <c r="L22" i="1"/>
  <c r="L2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  <c r="J2" i="1"/>
  <c r="F22" i="1"/>
  <c r="F21" i="1"/>
  <c r="F20" i="1"/>
  <c r="F19" i="1"/>
  <c r="F18" i="1"/>
  <c r="F17" i="1"/>
  <c r="H17" i="1" s="1"/>
  <c r="F16" i="1"/>
  <c r="F15" i="1"/>
  <c r="F14" i="1"/>
  <c r="F13" i="1"/>
  <c r="H13" i="1" s="1"/>
  <c r="F12" i="1"/>
  <c r="F11" i="1"/>
  <c r="F10" i="1"/>
  <c r="F9" i="1"/>
  <c r="H9" i="1" s="1"/>
  <c r="F8" i="1"/>
  <c r="F7" i="1"/>
  <c r="F6" i="1"/>
  <c r="F5" i="1"/>
  <c r="H5" i="1" s="1"/>
  <c r="F4" i="1"/>
  <c r="F3" i="1"/>
  <c r="F2" i="1"/>
  <c r="H21" i="1" l="1"/>
  <c r="H2" i="1"/>
  <c r="H6" i="1"/>
  <c r="H10" i="1"/>
  <c r="H14" i="1"/>
  <c r="H18" i="1"/>
  <c r="H22" i="1"/>
  <c r="H3" i="1"/>
  <c r="H7" i="1"/>
  <c r="H11" i="1"/>
  <c r="H15" i="1"/>
  <c r="H19" i="1"/>
  <c r="H16" i="1"/>
  <c r="H8" i="1"/>
  <c r="H20" i="1"/>
  <c r="H4" i="1"/>
  <c r="H12" i="1"/>
  <c r="AA21" i="1" l="1"/>
  <c r="AA20" i="1"/>
  <c r="AA19" i="1"/>
  <c r="AA18" i="1"/>
  <c r="AA17" i="1"/>
  <c r="AA16" i="1"/>
  <c r="AA15" i="1"/>
  <c r="AA14" i="1"/>
  <c r="AA13" i="1"/>
  <c r="AA12" i="1"/>
  <c r="AA11" i="1"/>
  <c r="AA10" i="1"/>
  <c r="AA9" i="1"/>
  <c r="AA8" i="1"/>
  <c r="AA7" i="1"/>
  <c r="AA6" i="1"/>
  <c r="AA5" i="1"/>
  <c r="AA4" i="1"/>
  <c r="AA3" i="1"/>
  <c r="AA2" i="1"/>
  <c r="AE9" i="1"/>
  <c r="AB2" i="1" l="1"/>
  <c r="AB6" i="1"/>
  <c r="AB10" i="1"/>
  <c r="AB14" i="1"/>
  <c r="AB18" i="1"/>
  <c r="AB3" i="1"/>
  <c r="AB19" i="1"/>
  <c r="AB7" i="1"/>
  <c r="AB11" i="1"/>
  <c r="AB15" i="1"/>
  <c r="AB4" i="1"/>
  <c r="AB8" i="1"/>
  <c r="AB12" i="1"/>
  <c r="AB16" i="1"/>
  <c r="AB20" i="1"/>
  <c r="AB5" i="1"/>
  <c r="AB9" i="1"/>
  <c r="AB13" i="1"/>
  <c r="AB17" i="1"/>
  <c r="AB21" i="1"/>
  <c r="I17" i="1"/>
  <c r="I18" i="1"/>
  <c r="I19" i="1"/>
  <c r="I20" i="1"/>
  <c r="I21" i="1"/>
  <c r="G17" i="1"/>
  <c r="G18" i="1"/>
  <c r="G19" i="1"/>
  <c r="G20" i="1"/>
  <c r="G21" i="1"/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22" i="1"/>
  <c r="G2" i="1"/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22" i="1"/>
  <c r="I2" i="1"/>
  <c r="AE3" i="1" l="1"/>
  <c r="K15" i="1" s="1"/>
  <c r="L15" i="1" s="1"/>
  <c r="K2" i="1" l="1"/>
  <c r="M2" i="1" s="1"/>
  <c r="K13" i="1"/>
  <c r="K12" i="1"/>
  <c r="K22" i="1"/>
  <c r="K14" i="1"/>
  <c r="M15" i="1"/>
  <c r="N15" i="1" s="1"/>
  <c r="M22" i="1"/>
  <c r="K9" i="1"/>
  <c r="L9" i="1" s="1"/>
  <c r="K17" i="1"/>
  <c r="L17" i="1" s="1"/>
  <c r="K20" i="1"/>
  <c r="L20" i="1" s="1"/>
  <c r="K18" i="1"/>
  <c r="L18" i="1" s="1"/>
  <c r="K19" i="1"/>
  <c r="L19" i="1" s="1"/>
  <c r="K21" i="1"/>
  <c r="L21" i="1" s="1"/>
  <c r="K3" i="1"/>
  <c r="L3" i="1" s="1"/>
  <c r="K16" i="1"/>
  <c r="L16" i="1" s="1"/>
  <c r="K6" i="1"/>
  <c r="L6" i="1" s="1"/>
  <c r="K7" i="1"/>
  <c r="L7" i="1" s="1"/>
  <c r="K4" i="1"/>
  <c r="L4" i="1" s="1"/>
  <c r="K5" i="1"/>
  <c r="L5" i="1" s="1"/>
  <c r="K10" i="1"/>
  <c r="L10" i="1" s="1"/>
  <c r="K11" i="1"/>
  <c r="L11" i="1" s="1"/>
  <c r="K8" i="1"/>
  <c r="L8" i="1" s="1"/>
  <c r="M13" i="1" l="1"/>
  <c r="N13" i="1" s="1"/>
  <c r="L13" i="1"/>
  <c r="M14" i="1"/>
  <c r="L14" i="1"/>
  <c r="M12" i="1"/>
  <c r="N12" i="1" s="1"/>
  <c r="L12" i="1"/>
  <c r="M7" i="1"/>
  <c r="N7" i="1" s="1"/>
  <c r="M17" i="1"/>
  <c r="N17" i="1" s="1"/>
  <c r="O14" i="1"/>
  <c r="X14" i="1"/>
  <c r="T14" i="1"/>
  <c r="O12" i="1"/>
  <c r="P12" i="1" s="1"/>
  <c r="M10" i="1"/>
  <c r="N10" i="1" s="1"/>
  <c r="M19" i="1"/>
  <c r="N19" i="1" s="1"/>
  <c r="M16" i="1"/>
  <c r="N16" i="1" s="1"/>
  <c r="O2" i="1"/>
  <c r="Q2" i="1" s="1"/>
  <c r="X2" i="1"/>
  <c r="AC2" i="1" s="1"/>
  <c r="T2" i="1"/>
  <c r="V2" i="1" s="1"/>
  <c r="M11" i="1"/>
  <c r="N11" i="1" s="1"/>
  <c r="M21" i="1"/>
  <c r="N21" i="1" s="1"/>
  <c r="M6" i="1"/>
  <c r="N6" i="1" s="1"/>
  <c r="M9" i="1"/>
  <c r="N9" i="1" s="1"/>
  <c r="X13" i="1"/>
  <c r="M5" i="1"/>
  <c r="N5" i="1" s="1"/>
  <c r="M18" i="1"/>
  <c r="N18" i="1" s="1"/>
  <c r="M8" i="1"/>
  <c r="N8" i="1" s="1"/>
  <c r="M4" i="1"/>
  <c r="N4" i="1" s="1"/>
  <c r="M3" i="1"/>
  <c r="N3" i="1" s="1"/>
  <c r="M20" i="1"/>
  <c r="N20" i="1" s="1"/>
  <c r="O22" i="1"/>
  <c r="Q22" i="1" s="1"/>
  <c r="X15" i="1"/>
  <c r="T15" i="1"/>
  <c r="U15" i="1" s="1"/>
  <c r="O15" i="1"/>
  <c r="P15" i="1" s="1"/>
  <c r="X12" i="1" l="1"/>
  <c r="AC15" i="1"/>
  <c r="Y15" i="1"/>
  <c r="Z15" i="1" s="1"/>
  <c r="O13" i="1"/>
  <c r="P13" i="1" s="1"/>
  <c r="N14" i="1"/>
  <c r="U14" i="1" s="1"/>
  <c r="AC13" i="1"/>
  <c r="Y13" i="1"/>
  <c r="Z13" i="1" s="1"/>
  <c r="T13" i="1"/>
  <c r="U13" i="1" s="1"/>
  <c r="T12" i="1"/>
  <c r="U12" i="1" s="1"/>
  <c r="AC14" i="1"/>
  <c r="T8" i="1"/>
  <c r="U8" i="1" s="1"/>
  <c r="O8" i="1"/>
  <c r="P8" i="1" s="1"/>
  <c r="Q8" i="1"/>
  <c r="X8" i="1"/>
  <c r="Q15" i="1"/>
  <c r="O4" i="1"/>
  <c r="P4" i="1" s="1"/>
  <c r="X4" i="1"/>
  <c r="T4" i="1"/>
  <c r="O6" i="1"/>
  <c r="P6" i="1" s="1"/>
  <c r="X6" i="1"/>
  <c r="T6" i="1"/>
  <c r="U6" i="1" s="1"/>
  <c r="X7" i="1"/>
  <c r="T7" i="1"/>
  <c r="U7" i="1" s="1"/>
  <c r="O7" i="1"/>
  <c r="X21" i="1"/>
  <c r="T21" i="1"/>
  <c r="U21" i="1" s="1"/>
  <c r="O21" i="1"/>
  <c r="P21" i="1" s="1"/>
  <c r="X19" i="1"/>
  <c r="T19" i="1"/>
  <c r="U19" i="1" s="1"/>
  <c r="O19" i="1"/>
  <c r="P19" i="1" s="1"/>
  <c r="X3" i="1"/>
  <c r="T3" i="1"/>
  <c r="O3" i="1"/>
  <c r="P3" i="1" s="1"/>
  <c r="X5" i="1"/>
  <c r="T5" i="1"/>
  <c r="U5" i="1" s="1"/>
  <c r="O5" i="1"/>
  <c r="Q13" i="1"/>
  <c r="X9" i="1"/>
  <c r="T9" i="1"/>
  <c r="U9" i="1" s="1"/>
  <c r="O9" i="1"/>
  <c r="P9" i="1" s="1"/>
  <c r="O16" i="1"/>
  <c r="P16" i="1" s="1"/>
  <c r="X16" i="1"/>
  <c r="T16" i="1"/>
  <c r="U16" i="1" s="1"/>
  <c r="T20" i="1"/>
  <c r="U20" i="1" s="1"/>
  <c r="O20" i="1"/>
  <c r="P20" i="1" s="1"/>
  <c r="X20" i="1"/>
  <c r="O18" i="1"/>
  <c r="P18" i="1" s="1"/>
  <c r="X18" i="1"/>
  <c r="T18" i="1"/>
  <c r="U18" i="1" s="1"/>
  <c r="X11" i="1"/>
  <c r="T11" i="1"/>
  <c r="U11" i="1" s="1"/>
  <c r="O11" i="1"/>
  <c r="P11" i="1" s="1"/>
  <c r="Q12" i="1"/>
  <c r="Q14" i="1"/>
  <c r="X17" i="1"/>
  <c r="T17" i="1"/>
  <c r="U17" i="1" s="1"/>
  <c r="O17" i="1"/>
  <c r="P17" i="1" s="1"/>
  <c r="O10" i="1"/>
  <c r="P10" i="1" s="1"/>
  <c r="X10" i="1"/>
  <c r="T10" i="1"/>
  <c r="U10" i="1" s="1"/>
  <c r="AC10" i="1" l="1"/>
  <c r="Y10" i="1"/>
  <c r="Z10" i="1" s="1"/>
  <c r="AC17" i="1"/>
  <c r="Y17" i="1"/>
  <c r="Z17" i="1" s="1"/>
  <c r="AC11" i="1"/>
  <c r="Y11" i="1"/>
  <c r="Z11" i="1" s="1"/>
  <c r="AC20" i="1"/>
  <c r="Y20" i="1"/>
  <c r="Z20" i="1" s="1"/>
  <c r="AC16" i="1"/>
  <c r="Y16" i="1"/>
  <c r="Z16" i="1" s="1"/>
  <c r="AC9" i="1"/>
  <c r="Y9" i="1"/>
  <c r="Z9" i="1" s="1"/>
  <c r="AC5" i="1"/>
  <c r="Y5" i="1"/>
  <c r="Z5" i="1" s="1"/>
  <c r="AC7" i="1"/>
  <c r="Y7" i="1"/>
  <c r="Z7" i="1" s="1"/>
  <c r="AC8" i="1"/>
  <c r="Y8" i="1"/>
  <c r="Z8" i="1" s="1"/>
  <c r="Y14" i="1"/>
  <c r="Z14" i="1" s="1"/>
  <c r="P14" i="1"/>
  <c r="AC12" i="1"/>
  <c r="Y12" i="1"/>
  <c r="Z12" i="1" s="1"/>
  <c r="AC21" i="1"/>
  <c r="Y21" i="1"/>
  <c r="Z21" i="1" s="1"/>
  <c r="AC18" i="1"/>
  <c r="Y18" i="1"/>
  <c r="Z18" i="1" s="1"/>
  <c r="Q5" i="1"/>
  <c r="P5" i="1"/>
  <c r="AC19" i="1"/>
  <c r="Y19" i="1"/>
  <c r="Z19" i="1" s="1"/>
  <c r="Q7" i="1"/>
  <c r="P7" i="1"/>
  <c r="AC6" i="1"/>
  <c r="Y6" i="1"/>
  <c r="Z6" i="1" s="1"/>
  <c r="AC4" i="1"/>
  <c r="Y4" i="1"/>
  <c r="Z4" i="1" s="1"/>
  <c r="V8" i="1"/>
  <c r="U4" i="1"/>
  <c r="V4" i="1"/>
  <c r="V3" i="1"/>
  <c r="U3" i="1"/>
  <c r="AC3" i="1"/>
  <c r="AC23" i="1" s="1"/>
  <c r="X24" i="1"/>
  <c r="Y3" i="1"/>
  <c r="Z3" i="1" s="1"/>
  <c r="V6" i="1"/>
  <c r="V12" i="1"/>
  <c r="V20" i="1"/>
  <c r="V7" i="1"/>
  <c r="V11" i="1"/>
  <c r="V9" i="1"/>
  <c r="V18" i="1"/>
  <c r="V14" i="1"/>
  <c r="Q10" i="1"/>
  <c r="Q3" i="1"/>
  <c r="Q6" i="1"/>
  <c r="Q4" i="1"/>
  <c r="V21" i="1"/>
  <c r="Q21" i="1"/>
  <c r="Q16" i="1"/>
  <c r="Q19" i="1"/>
  <c r="V13" i="1"/>
  <c r="V10" i="1"/>
  <c r="V15" i="1"/>
  <c r="V19" i="1"/>
  <c r="Q17" i="1"/>
  <c r="V16" i="1"/>
  <c r="V5" i="1"/>
  <c r="V17" i="1"/>
  <c r="Q11" i="1"/>
  <c r="Q18" i="1"/>
  <c r="Q20" i="1"/>
  <c r="Q9" i="1"/>
  <c r="Y24" i="1" l="1"/>
  <c r="W19" i="1"/>
  <c r="W15" i="1"/>
  <c r="W11" i="1"/>
  <c r="W7" i="1"/>
  <c r="W3" i="1"/>
  <c r="W16" i="1"/>
  <c r="W8" i="1"/>
  <c r="W18" i="1"/>
  <c r="W14" i="1"/>
  <c r="W10" i="1"/>
  <c r="W6" i="1"/>
  <c r="W20" i="1"/>
  <c r="W4" i="1"/>
  <c r="W21" i="1"/>
  <c r="W17" i="1"/>
  <c r="W13" i="1"/>
  <c r="W9" i="1"/>
  <c r="W5" i="1"/>
  <c r="W12" i="1"/>
</calcChain>
</file>

<file path=xl/sharedStrings.xml><?xml version="1.0" encoding="utf-8"?>
<sst xmlns="http://schemas.openxmlformats.org/spreadsheetml/2006/main" count="55" uniqueCount="55">
  <si>
    <t>Total counts (cpm)</t>
  </si>
  <si>
    <t>Time elapsed (hrs)</t>
  </si>
  <si>
    <t>Decay constant of Y-90=</t>
  </si>
  <si>
    <t xml:space="preserve">Sample name </t>
  </si>
  <si>
    <t>Time measured</t>
  </si>
  <si>
    <t>Time separated</t>
  </si>
  <si>
    <t>Ingrowth factor</t>
  </si>
  <si>
    <t>CPM of Sr-90</t>
  </si>
  <si>
    <t xml:space="preserve">CPM of Y-90 </t>
  </si>
  <si>
    <t>DPM Total</t>
  </si>
  <si>
    <t>Total bkgd corrected counts (cpm)</t>
  </si>
  <si>
    <t>Blk</t>
  </si>
  <si>
    <t>Weight Corrected Sr-90 Activity (DPM)</t>
  </si>
  <si>
    <t>Cumulative Activity (DPM)</t>
  </si>
  <si>
    <t>6 ml/min</t>
  </si>
  <si>
    <t>CT30 1 mL</t>
  </si>
  <si>
    <t>CT30 2 mL</t>
  </si>
  <si>
    <t>CT30 3 mL</t>
  </si>
  <si>
    <t>CT30 4 mL</t>
  </si>
  <si>
    <t>CT30 5 mL</t>
  </si>
  <si>
    <t>CT30 6 mL</t>
  </si>
  <si>
    <t>CT30 7 mL</t>
  </si>
  <si>
    <t>CT30 8 mL</t>
  </si>
  <si>
    <t>CT30 9 mL</t>
  </si>
  <si>
    <t>CT30 10 mL</t>
  </si>
  <si>
    <t>CT30 11 mL</t>
  </si>
  <si>
    <t>CT30 12 mL</t>
  </si>
  <si>
    <t>CT30 13 mL</t>
  </si>
  <si>
    <t>CT30 14 mL</t>
  </si>
  <si>
    <t>CT30 15 mL</t>
  </si>
  <si>
    <t>CT30 16 mL</t>
  </si>
  <si>
    <t>CT30 17 mL</t>
  </si>
  <si>
    <t>CT30 18 mL</t>
  </si>
  <si>
    <t>CT30 19 mL</t>
  </si>
  <si>
    <t>CT30 20 mL</t>
  </si>
  <si>
    <t>Decay constant of sr-90=</t>
  </si>
  <si>
    <t>DC factor</t>
  </si>
  <si>
    <r>
      <t xml:space="preserve">Measured counts % </t>
    </r>
    <r>
      <rPr>
        <sz val="11"/>
        <color theme="1"/>
        <rFont val="Calibri"/>
        <family val="2"/>
      </rPr>
      <t>σ</t>
    </r>
  </si>
  <si>
    <t>Measured counts σ</t>
  </si>
  <si>
    <t>Total Bkgd corrected counts σ</t>
  </si>
  <si>
    <r>
      <t xml:space="preserve">Time elapsed (hrs) </t>
    </r>
    <r>
      <rPr>
        <sz val="11"/>
        <color theme="1"/>
        <rFont val="Calibri"/>
        <family val="2"/>
      </rPr>
      <t>σ</t>
    </r>
  </si>
  <si>
    <r>
      <t xml:space="preserve">Ingrowth factor </t>
    </r>
    <r>
      <rPr>
        <sz val="11"/>
        <color theme="1"/>
        <rFont val="Calibri"/>
        <family val="2"/>
      </rPr>
      <t>σ</t>
    </r>
  </si>
  <si>
    <r>
      <t xml:space="preserve">CPM of Sr-90 </t>
    </r>
    <r>
      <rPr>
        <sz val="11"/>
        <color theme="1"/>
        <rFont val="Calibri"/>
        <family val="2"/>
      </rPr>
      <t>σ</t>
    </r>
  </si>
  <si>
    <r>
      <t xml:space="preserve">CPM of Y-90 </t>
    </r>
    <r>
      <rPr>
        <sz val="11"/>
        <color theme="1"/>
        <rFont val="Calibri"/>
        <family val="2"/>
      </rPr>
      <t>σ</t>
    </r>
  </si>
  <si>
    <t>Weight of eluate</t>
  </si>
  <si>
    <t>Weight of Eluate (g) σ</t>
  </si>
  <si>
    <t>Weight Corrected Sr-90 Activity (DPM) σ</t>
  </si>
  <si>
    <t>Cumulative Activity (DPM) σ</t>
  </si>
  <si>
    <t>Activity (bq)</t>
  </si>
  <si>
    <t>Activity (Bq) σ</t>
  </si>
  <si>
    <t>Activity (Bq) σ ^2</t>
  </si>
  <si>
    <t>Time from 05.06.2018</t>
  </si>
  <si>
    <t>DC to 05.06.2018</t>
  </si>
  <si>
    <t>σ</t>
  </si>
  <si>
    <t>Sr-90 activity recovered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</si>
</sst>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00000"/>
    <numFmt numFmtId="166" formatCode="0.00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22" fontId="0" fillId="0" borderId="0" xfId="0" applyNumberFormat="1"/>
    <xf numFmtId="0" fontId="0" fillId="2" borderId="0" xfId="0" applyFill="1"/>
    <xf numFmtId="0" fontId="0" fillId="3" borderId="2" xfId="0" applyFill="1" applyBorder="1"/>
    <xf numFmtId="0" fontId="0" fillId="3" borderId="3" xfId="0" applyFill="1" applyBorder="1"/>
    <xf numFmtId="0" fontId="0" fillId="3" borderId="1" xfId="0" applyFill="1" applyBorder="1"/>
    <xf numFmtId="0" fontId="0" fillId="3" borderId="0" xfId="0" applyFill="1"/>
    <xf numFmtId="0" fontId="0" fillId="0" borderId="2" xfId="0" applyBorder="1"/>
    <xf numFmtId="0" fontId="0" fillId="0" borderId="4" xfId="0" applyBorder="1"/>
    <xf numFmtId="166" fontId="0" fillId="3" borderId="3" xfId="0" applyNumberFormat="1" applyFill="1" applyBorder="1"/>
    <xf numFmtId="166" fontId="0" fillId="3" borderId="1" xfId="0" applyNumberFormat="1" applyFill="1" applyBorder="1"/>
    <xf numFmtId="0" fontId="0" fillId="0" borderId="1" xfId="0" applyBorder="1"/>
    <xf numFmtId="0" fontId="1" fillId="0" borderId="0" xfId="0" applyFont="1"/>
    <xf numFmtId="22" fontId="0" fillId="0" borderId="1" xfId="0" applyNumberFormat="1" applyBorder="1"/>
    <xf numFmtId="2" fontId="0" fillId="0" borderId="1" xfId="0" applyNumberFormat="1" applyBorder="1"/>
    <xf numFmtId="164" fontId="0" fillId="0" borderId="1" xfId="0" applyNumberFormat="1" applyBorder="1"/>
    <xf numFmtId="165" fontId="0" fillId="0" borderId="1" xfId="0" applyNumberFormat="1" applyBorder="1"/>
    <xf numFmtId="0" fontId="0" fillId="0" borderId="3" xfId="0" applyBorder="1"/>
    <xf numFmtId="22" fontId="0" fillId="0" borderId="3" xfId="0" applyNumberFormat="1" applyBorder="1"/>
    <xf numFmtId="2" fontId="0" fillId="0" borderId="3" xfId="0" applyNumberFormat="1" applyBorder="1"/>
    <xf numFmtId="164" fontId="0" fillId="0" borderId="3" xfId="0" applyNumberFormat="1" applyBorder="1"/>
    <xf numFmtId="165" fontId="0" fillId="0" borderId="3" xfId="0" applyNumberFormat="1" applyBorder="1"/>
    <xf numFmtId="0" fontId="0" fillId="0" borderId="6" xfId="0" applyBorder="1"/>
    <xf numFmtId="22" fontId="0" fillId="0" borderId="7" xfId="0" applyNumberFormat="1" applyBorder="1"/>
    <xf numFmtId="22" fontId="0" fillId="0" borderId="8" xfId="0" applyNumberFormat="1" applyBorder="1"/>
    <xf numFmtId="0" fontId="0" fillId="0" borderId="5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7"/>
  <sheetViews>
    <sheetView tabSelected="1" zoomScale="90" zoomScaleNormal="90" workbookViewId="0">
      <selection activeCell="B29" sqref="B29"/>
    </sheetView>
  </sheetViews>
  <sheetFormatPr defaultRowHeight="15" x14ac:dyDescent="0.25"/>
  <cols>
    <col min="1" max="1" width="13.5703125" bestFit="1" customWidth="1"/>
    <col min="2" max="2" width="20.5703125" customWidth="1"/>
    <col min="3" max="3" width="17.140625" bestFit="1" customWidth="1"/>
    <col min="4" max="4" width="17.5703125" bestFit="1" customWidth="1"/>
    <col min="5" max="6" width="17.5703125" style="6" customWidth="1"/>
    <col min="7" max="7" width="31.5703125" bestFit="1" customWidth="1"/>
    <col min="8" max="8" width="31.5703125" customWidth="1"/>
    <col min="9" max="9" width="17.7109375" bestFit="1" customWidth="1"/>
    <col min="10" max="12" width="17.7109375" customWidth="1"/>
    <col min="13" max="13" width="12.140625" bestFit="1" customWidth="1"/>
    <col min="14" max="14" width="12.140625" customWidth="1"/>
    <col min="15" max="15" width="12.140625" bestFit="1" customWidth="1"/>
    <col min="16" max="16" width="12.140625" customWidth="1"/>
    <col min="17" max="17" width="12" bestFit="1" customWidth="1"/>
    <col min="18" max="18" width="19" bestFit="1" customWidth="1"/>
    <col min="19" max="19" width="19" customWidth="1"/>
    <col min="20" max="20" width="35.42578125" bestFit="1" customWidth="1"/>
    <col min="21" max="21" width="35.42578125" customWidth="1"/>
    <col min="22" max="22" width="24.7109375" bestFit="1" customWidth="1"/>
    <col min="23" max="30" width="24.7109375" customWidth="1"/>
    <col min="31" max="31" width="22.140625" bestFit="1" customWidth="1"/>
  </cols>
  <sheetData>
    <row r="1" spans="1:31" ht="15.75" thickBot="1" x14ac:dyDescent="0.3">
      <c r="A1" s="25" t="s">
        <v>3</v>
      </c>
      <c r="B1" s="22" t="s">
        <v>5</v>
      </c>
      <c r="C1" s="7" t="s">
        <v>4</v>
      </c>
      <c r="D1" s="7" t="s">
        <v>0</v>
      </c>
      <c r="E1" s="3" t="s">
        <v>37</v>
      </c>
      <c r="F1" s="3" t="s">
        <v>38</v>
      </c>
      <c r="G1" s="7" t="s">
        <v>10</v>
      </c>
      <c r="H1" s="3" t="s">
        <v>39</v>
      </c>
      <c r="I1" s="7" t="s">
        <v>1</v>
      </c>
      <c r="J1" s="3" t="s">
        <v>40</v>
      </c>
      <c r="K1" s="7" t="s">
        <v>6</v>
      </c>
      <c r="L1" s="3" t="s">
        <v>41</v>
      </c>
      <c r="M1" s="7" t="s">
        <v>7</v>
      </c>
      <c r="N1" s="3" t="s">
        <v>42</v>
      </c>
      <c r="O1" s="7" t="s">
        <v>8</v>
      </c>
      <c r="P1" s="3" t="s">
        <v>43</v>
      </c>
      <c r="Q1" s="7" t="s">
        <v>9</v>
      </c>
      <c r="R1" s="7" t="s">
        <v>44</v>
      </c>
      <c r="S1" s="3" t="s">
        <v>45</v>
      </c>
      <c r="T1" s="7" t="s">
        <v>12</v>
      </c>
      <c r="U1" s="3" t="s">
        <v>46</v>
      </c>
      <c r="V1" s="7" t="s">
        <v>13</v>
      </c>
      <c r="W1" s="3" t="s">
        <v>47</v>
      </c>
      <c r="X1" s="7" t="s">
        <v>48</v>
      </c>
      <c r="Y1" s="3" t="s">
        <v>49</v>
      </c>
      <c r="Z1" s="3" t="s">
        <v>50</v>
      </c>
      <c r="AA1" s="7" t="s">
        <v>51</v>
      </c>
      <c r="AB1" s="7" t="s">
        <v>36</v>
      </c>
      <c r="AC1" s="8" t="s">
        <v>52</v>
      </c>
    </row>
    <row r="2" spans="1:31" x14ac:dyDescent="0.25">
      <c r="A2" s="26" t="s">
        <v>15</v>
      </c>
      <c r="B2" s="23">
        <v>43327.729166666664</v>
      </c>
      <c r="C2" s="18">
        <v>43333.078472222223</v>
      </c>
      <c r="D2" s="19">
        <v>7.98</v>
      </c>
      <c r="E2" s="4">
        <v>6.54</v>
      </c>
      <c r="F2" s="4">
        <f>D2*(E2/100)</f>
        <v>0.52189200000000002</v>
      </c>
      <c r="G2" s="17">
        <f t="shared" ref="G2:G22" si="0">D2-$D$22</f>
        <v>0.48000000000000043</v>
      </c>
      <c r="H2" s="4">
        <f>SQRT((F2^2)+(F$17^2))</f>
        <v>0.86894744656336964</v>
      </c>
      <c r="I2" s="20">
        <f>(C2-B2)*24</f>
        <v>128.3833333334187</v>
      </c>
      <c r="J2" s="9">
        <f>1/60</f>
        <v>1.6666666666666666E-2</v>
      </c>
      <c r="K2" s="17">
        <f t="shared" ref="K2:K22" si="1">1-EXP(-$AE$3*I2)</f>
        <v>0.76527128731201999</v>
      </c>
      <c r="L2" s="4">
        <f>K2*SQRT(((J2/I2)^2))</f>
        <v>9.9347174777555651E-5</v>
      </c>
      <c r="M2" s="17">
        <f t="shared" ref="M2:M22" si="2">G2/((1+K2))</f>
        <v>0.2719128801618344</v>
      </c>
      <c r="N2" s="4">
        <f t="shared" ref="N2:N22" si="3">M2*SQRT(((H2/G2)^2)+((L2/K2)^2))</f>
        <v>0.49224584064968546</v>
      </c>
      <c r="O2" s="17">
        <f t="shared" ref="O2:O22" si="4">M2*K2</f>
        <v>0.20808711983816602</v>
      </c>
      <c r="P2" s="4">
        <f t="shared" ref="P2:P22" si="5">O2*SQRT(((N2/M2)^2)+((L2/K2)^2))</f>
        <v>0.37670160911656925</v>
      </c>
      <c r="Q2" s="17">
        <f>M2+O2</f>
        <v>0.48000000000000043</v>
      </c>
      <c r="R2" s="17">
        <v>0.75380000000000003</v>
      </c>
      <c r="S2" s="4">
        <v>1.4142135623730951E-4</v>
      </c>
      <c r="T2" s="17">
        <f t="shared" ref="T2:T21" si="6">M2/R2</f>
        <v>0.36072284447046216</v>
      </c>
      <c r="U2" s="4">
        <f>T2*SQRT(((S2/R2)^2)+((N2/M2)^2))</f>
        <v>0.65301916064353904</v>
      </c>
      <c r="V2" s="17">
        <f>SUM($T$2:T2)</f>
        <v>0.36072284447046216</v>
      </c>
      <c r="W2" s="4">
        <f>SQRT((U2^2))</f>
        <v>0.65301916064353904</v>
      </c>
      <c r="X2" s="17">
        <f>M2/60</f>
        <v>4.5318813360305738E-3</v>
      </c>
      <c r="Y2" s="4">
        <f>X2*SQRT(((N2/M2)^2))</f>
        <v>8.2040973441614255E-3</v>
      </c>
      <c r="Z2" s="4">
        <f>Y2^2</f>
        <v>6.7307213232476555E-5</v>
      </c>
      <c r="AA2" s="17">
        <f t="shared" ref="AA2:AA21" si="7">(C2-$AE$6)*24</f>
        <v>157.8833333333605</v>
      </c>
      <c r="AB2" s="21">
        <f>EXP(-$AE$9*AA2)</f>
        <v>0.99956631843222898</v>
      </c>
      <c r="AC2" s="17">
        <f>X2/AB2</f>
        <v>4.5338475821580385E-3</v>
      </c>
      <c r="AE2" t="s">
        <v>2</v>
      </c>
    </row>
    <row r="3" spans="1:31" x14ac:dyDescent="0.25">
      <c r="A3" s="27" t="s">
        <v>16</v>
      </c>
      <c r="B3" s="24">
        <v>43327.72928240741</v>
      </c>
      <c r="C3" s="13">
        <v>43333.101388888892</v>
      </c>
      <c r="D3" s="14">
        <v>10.23</v>
      </c>
      <c r="E3" s="5">
        <v>5.77</v>
      </c>
      <c r="F3" s="5">
        <f t="shared" ref="F3:F22" si="8">D3*(E3/100)</f>
        <v>0.59027099999999999</v>
      </c>
      <c r="G3" s="11">
        <f t="shared" si="0"/>
        <v>2.7300000000000004</v>
      </c>
      <c r="H3" s="5">
        <f>SQRT((F3^2)+(F$17^2))</f>
        <v>0.91165687551073737</v>
      </c>
      <c r="I3" s="15">
        <f t="shared" ref="I3:I21" si="9">(C3-B3)*24</f>
        <v>128.93055555556202</v>
      </c>
      <c r="J3" s="10">
        <f t="shared" ref="J3:J22" si="10">1/60</f>
        <v>1.6666666666666666E-2</v>
      </c>
      <c r="K3" s="11">
        <f t="shared" si="1"/>
        <v>0.76671688109176561</v>
      </c>
      <c r="L3" s="5">
        <f t="shared" ref="L3:L22" si="11">K3*SQRT(((J3/I3)^2))</f>
        <v>9.9112383637840417E-5</v>
      </c>
      <c r="M3" s="11">
        <f t="shared" si="2"/>
        <v>1.5452390981360644</v>
      </c>
      <c r="N3" s="5">
        <f t="shared" si="3"/>
        <v>0.51601756544711419</v>
      </c>
      <c r="O3" s="11">
        <f t="shared" si="4"/>
        <v>1.184760901863936</v>
      </c>
      <c r="P3" s="5">
        <f t="shared" si="5"/>
        <v>0.39563940801087311</v>
      </c>
      <c r="Q3" s="11">
        <f t="shared" ref="Q3:Q22" si="12">M3+O3</f>
        <v>2.7300000000000004</v>
      </c>
      <c r="R3" s="11">
        <v>1.0347</v>
      </c>
      <c r="S3" s="5">
        <v>1.4142135623730951E-4</v>
      </c>
      <c r="T3" s="11">
        <f t="shared" si="6"/>
        <v>1.4934175105209864</v>
      </c>
      <c r="U3" s="5">
        <f t="shared" ref="U3:U22" si="13">T3*SQRT(((S3/R3)^2)+((N3/M3)^2))</f>
        <v>0.49871229213146723</v>
      </c>
      <c r="V3" s="11">
        <f>SUM($T$2:T3)</f>
        <v>1.8541403549914486</v>
      </c>
      <c r="W3" s="5">
        <f>SQRT((U3^2)+(U2^2))</f>
        <v>0.82167388572998601</v>
      </c>
      <c r="X3" s="11">
        <f t="shared" ref="X3:X21" si="14">M3/60</f>
        <v>2.5753984968934406E-2</v>
      </c>
      <c r="Y3" s="5">
        <f t="shared" ref="Y3:Y16" si="15">X3*SQRT(((N3/M3)^2))</f>
        <v>8.6002927574519022E-3</v>
      </c>
      <c r="Z3" s="5">
        <f t="shared" ref="Z3:Z16" si="16">Y3^2</f>
        <v>7.3965035513879639E-5</v>
      </c>
      <c r="AA3" s="11">
        <f t="shared" si="7"/>
        <v>158.43333333340706</v>
      </c>
      <c r="AB3" s="16">
        <f t="shared" ref="AB3:AB21" si="17">EXP(-$AE$9*AA3)</f>
        <v>0.99956480799444125</v>
      </c>
      <c r="AC3" s="11">
        <f t="shared" ref="AC3:AC21" si="18">X3/AB3</f>
        <v>2.5765197777028608E-2</v>
      </c>
      <c r="AE3">
        <f>LN(2)/61.4</f>
        <v>1.1289042028663604E-2</v>
      </c>
    </row>
    <row r="4" spans="1:31" x14ac:dyDescent="0.25">
      <c r="A4" s="27" t="s">
        <v>17</v>
      </c>
      <c r="B4" s="24">
        <v>43327.729398148149</v>
      </c>
      <c r="C4" s="13">
        <v>43333.124305555553</v>
      </c>
      <c r="D4" s="14">
        <v>10.71</v>
      </c>
      <c r="E4" s="5">
        <v>5.64</v>
      </c>
      <c r="F4" s="5">
        <f t="shared" si="8"/>
        <v>0.60404400000000003</v>
      </c>
      <c r="G4" s="11">
        <f t="shared" si="0"/>
        <v>3.2100000000000009</v>
      </c>
      <c r="H4" s="5">
        <f t="shared" ref="H4:H17" si="19">SQRT((F4^2)+(F$17^2))</f>
        <v>0.9206343243443621</v>
      </c>
      <c r="I4" s="15">
        <f t="shared" si="9"/>
        <v>129.47777777770534</v>
      </c>
      <c r="J4" s="10">
        <f t="shared" si="10"/>
        <v>1.6666666666666666E-2</v>
      </c>
      <c r="K4" s="11">
        <f t="shared" si="1"/>
        <v>0.76815357207750656</v>
      </c>
      <c r="L4" s="5">
        <f t="shared" si="11"/>
        <v>9.8878431143645807E-5</v>
      </c>
      <c r="M4" s="11">
        <f t="shared" si="2"/>
        <v>1.8154531657724646</v>
      </c>
      <c r="N4" s="5">
        <f t="shared" si="3"/>
        <v>0.520675597192788</v>
      </c>
      <c r="O4" s="11">
        <f t="shared" si="4"/>
        <v>1.3945468342275364</v>
      </c>
      <c r="P4" s="5">
        <f t="shared" si="5"/>
        <v>0.39995886016079779</v>
      </c>
      <c r="Q4" s="11">
        <f t="shared" si="12"/>
        <v>3.2100000000000009</v>
      </c>
      <c r="R4" s="11">
        <v>1.0630999999999995</v>
      </c>
      <c r="S4" s="5">
        <v>1.4142135623730951E-4</v>
      </c>
      <c r="T4" s="11">
        <f t="shared" si="6"/>
        <v>1.7076974562811265</v>
      </c>
      <c r="U4" s="5">
        <f t="shared" si="13"/>
        <v>0.48977109698182225</v>
      </c>
      <c r="V4" s="11">
        <f>SUM($T$2:T4)</f>
        <v>3.561837811272575</v>
      </c>
      <c r="W4" s="5">
        <f>SQRT((U4^2)+(U3^2)+(U2^2))</f>
        <v>0.95656871260217979</v>
      </c>
      <c r="X4" s="11">
        <f t="shared" si="14"/>
        <v>3.025755276287441E-2</v>
      </c>
      <c r="Y4" s="5">
        <f t="shared" si="15"/>
        <v>8.6779266198797993E-3</v>
      </c>
      <c r="Z4" s="5">
        <f t="shared" si="16"/>
        <v>7.5306410420018433E-5</v>
      </c>
      <c r="AA4" s="11">
        <f t="shared" si="7"/>
        <v>158.98333333327901</v>
      </c>
      <c r="AB4" s="16">
        <f t="shared" si="17"/>
        <v>0.99956329755893647</v>
      </c>
      <c r="AC4" s="11">
        <f t="shared" si="18"/>
        <v>3.0270772082935906E-2</v>
      </c>
    </row>
    <row r="5" spans="1:31" x14ac:dyDescent="0.25">
      <c r="A5" s="27" t="s">
        <v>18</v>
      </c>
      <c r="B5" s="23">
        <v>43327.729514004626</v>
      </c>
      <c r="C5" s="13">
        <v>43333.147222222222</v>
      </c>
      <c r="D5" s="14">
        <v>15.45</v>
      </c>
      <c r="E5" s="5">
        <v>4.7</v>
      </c>
      <c r="F5" s="5">
        <f t="shared" si="8"/>
        <v>0.72614999999999996</v>
      </c>
      <c r="G5" s="11">
        <f t="shared" si="0"/>
        <v>7.9499999999999993</v>
      </c>
      <c r="H5" s="5">
        <f t="shared" si="19"/>
        <v>1.0049836952533111</v>
      </c>
      <c r="I5" s="15">
        <f t="shared" si="9"/>
        <v>130.0249972222955</v>
      </c>
      <c r="J5" s="10">
        <f t="shared" si="10"/>
        <v>1.6666666666666666E-2</v>
      </c>
      <c r="K5" s="11">
        <f t="shared" si="1"/>
        <v>0.76958140787275919</v>
      </c>
      <c r="L5" s="5">
        <f t="shared" si="11"/>
        <v>9.8645314915492055E-5</v>
      </c>
      <c r="M5" s="11">
        <f t="shared" si="2"/>
        <v>4.4925878880908989</v>
      </c>
      <c r="N5" s="5">
        <f t="shared" si="3"/>
        <v>0.56792199975839919</v>
      </c>
      <c r="O5" s="11">
        <f t="shared" si="4"/>
        <v>3.4574121119090999</v>
      </c>
      <c r="P5" s="5">
        <f t="shared" si="5"/>
        <v>0.43706243682028034</v>
      </c>
      <c r="Q5" s="11">
        <f t="shared" si="12"/>
        <v>7.9499999999999993</v>
      </c>
      <c r="R5" s="11">
        <v>0.8677999999999999</v>
      </c>
      <c r="S5" s="5">
        <v>1.4142135623730951E-4</v>
      </c>
      <c r="T5" s="11">
        <f t="shared" si="6"/>
        <v>5.1769853515682174</v>
      </c>
      <c r="U5" s="5">
        <f t="shared" si="13"/>
        <v>0.65443935431519051</v>
      </c>
      <c r="V5" s="11">
        <f>SUM($T$2:T5)</f>
        <v>8.7388231628407915</v>
      </c>
      <c r="W5" s="5">
        <f>SQRT((U5^2)+(U4^2)+(U3^2)+(U2^2))</f>
        <v>1.1590144823969522</v>
      </c>
      <c r="X5" s="11">
        <f t="shared" si="14"/>
        <v>7.4876464801514983E-2</v>
      </c>
      <c r="Y5" s="5">
        <f t="shared" si="15"/>
        <v>9.4653666626399874E-3</v>
      </c>
      <c r="Z5" s="5">
        <f t="shared" si="16"/>
        <v>8.9593166058216447E-5</v>
      </c>
      <c r="AA5" s="11">
        <f t="shared" si="7"/>
        <v>159.53333333332557</v>
      </c>
      <c r="AB5" s="16">
        <f t="shared" si="17"/>
        <v>0.99956178712571353</v>
      </c>
      <c r="AC5" s="11">
        <f t="shared" si="18"/>
        <v>7.4909291017242405E-2</v>
      </c>
    </row>
    <row r="6" spans="1:31" x14ac:dyDescent="0.25">
      <c r="A6" s="27" t="s">
        <v>19</v>
      </c>
      <c r="B6" s="24">
        <v>43327.729629803238</v>
      </c>
      <c r="C6" s="13">
        <v>43333.170138888891</v>
      </c>
      <c r="D6" s="14">
        <v>109.73</v>
      </c>
      <c r="E6" s="5">
        <v>1.76</v>
      </c>
      <c r="F6" s="5">
        <f t="shared" si="8"/>
        <v>1.9312480000000001</v>
      </c>
      <c r="G6" s="11">
        <f t="shared" si="0"/>
        <v>102.23</v>
      </c>
      <c r="H6" s="5">
        <f t="shared" si="19"/>
        <v>2.0524174143504532</v>
      </c>
      <c r="I6" s="15">
        <f t="shared" si="9"/>
        <v>130.57221805566223</v>
      </c>
      <c r="J6" s="10">
        <f t="shared" si="10"/>
        <v>1.6666666666666666E-2</v>
      </c>
      <c r="K6" s="11">
        <f t="shared" si="1"/>
        <v>0.77100045387258143</v>
      </c>
      <c r="L6" s="5">
        <f t="shared" si="11"/>
        <v>9.8413029631350333E-5</v>
      </c>
      <c r="M6" s="11">
        <f t="shared" si="2"/>
        <v>57.724434669938923</v>
      </c>
      <c r="N6" s="5">
        <f t="shared" si="3"/>
        <v>1.1589262392247246</v>
      </c>
      <c r="O6" s="11">
        <f t="shared" si="4"/>
        <v>44.505565330061081</v>
      </c>
      <c r="P6" s="5">
        <f t="shared" si="5"/>
        <v>0.89355071486780102</v>
      </c>
      <c r="Q6" s="11">
        <f t="shared" si="12"/>
        <v>102.23</v>
      </c>
      <c r="R6" s="11">
        <v>0.85820000000000007</v>
      </c>
      <c r="S6" s="5">
        <v>1.4142135623730951E-4</v>
      </c>
      <c r="T6" s="11">
        <f t="shared" si="6"/>
        <v>67.262217047237144</v>
      </c>
      <c r="U6" s="5">
        <f t="shared" si="13"/>
        <v>1.3504605878320086</v>
      </c>
      <c r="V6" s="11">
        <f>SUM($T$2:T6)</f>
        <v>76.001040210077932</v>
      </c>
      <c r="W6" s="5">
        <f>SQRT((U6^2)+(U5^2)+(U4^2)+(U3^2)+(U2^2))</f>
        <v>1.7796230976511429</v>
      </c>
      <c r="X6" s="11">
        <f t="shared" si="14"/>
        <v>0.96207391116564867</v>
      </c>
      <c r="Y6" s="5">
        <f t="shared" si="15"/>
        <v>1.9315437320412073E-2</v>
      </c>
      <c r="Z6" s="5">
        <f t="shared" si="16"/>
        <v>3.7308611887876752E-4</v>
      </c>
      <c r="AA6" s="11">
        <f t="shared" si="7"/>
        <v>160.08333333337214</v>
      </c>
      <c r="AB6" s="16">
        <f t="shared" si="17"/>
        <v>0.99956027669477299</v>
      </c>
      <c r="AC6" s="11">
        <f t="shared" si="18"/>
        <v>0.9624971435909</v>
      </c>
      <c r="AE6" s="1">
        <v>43326.5</v>
      </c>
    </row>
    <row r="7" spans="1:31" x14ac:dyDescent="0.25">
      <c r="A7" s="27" t="s">
        <v>20</v>
      </c>
      <c r="B7" s="24">
        <v>43327.72974560185</v>
      </c>
      <c r="C7" s="13">
        <v>43333.193055555559</v>
      </c>
      <c r="D7" s="14">
        <v>217.14</v>
      </c>
      <c r="E7" s="5">
        <v>1.25</v>
      </c>
      <c r="F7" s="5">
        <f t="shared" si="8"/>
        <v>2.7142499999999998</v>
      </c>
      <c r="G7" s="11">
        <f t="shared" si="0"/>
        <v>209.64</v>
      </c>
      <c r="H7" s="5">
        <f t="shared" si="19"/>
        <v>2.801758638377867</v>
      </c>
      <c r="I7" s="15">
        <f t="shared" si="9"/>
        <v>131.11943888902897</v>
      </c>
      <c r="J7" s="10">
        <f t="shared" si="10"/>
        <v>1.6666666666666666E-2</v>
      </c>
      <c r="K7" s="11">
        <f t="shared" si="1"/>
        <v>0.77241076059693536</v>
      </c>
      <c r="L7" s="5">
        <f t="shared" si="11"/>
        <v>9.8181572356413906E-5</v>
      </c>
      <c r="M7" s="11">
        <f t="shared" si="2"/>
        <v>118.27957980202891</v>
      </c>
      <c r="N7" s="5">
        <f t="shared" si="3"/>
        <v>1.5808329646162684</v>
      </c>
      <c r="O7" s="11">
        <f t="shared" si="4"/>
        <v>91.360420197971067</v>
      </c>
      <c r="P7" s="5">
        <f t="shared" si="5"/>
        <v>1.2211076137196468</v>
      </c>
      <c r="Q7" s="11">
        <f t="shared" si="12"/>
        <v>209.64</v>
      </c>
      <c r="R7" s="11">
        <v>0.77719999999999967</v>
      </c>
      <c r="S7" s="5">
        <v>1.4142135623730951E-4</v>
      </c>
      <c r="T7" s="11">
        <f t="shared" si="6"/>
        <v>152.18679851007329</v>
      </c>
      <c r="U7" s="5">
        <f t="shared" si="13"/>
        <v>2.0341990067772429</v>
      </c>
      <c r="V7" s="11">
        <f>SUM($T$2:T7)</f>
        <v>228.18783872015121</v>
      </c>
      <c r="W7" s="5">
        <f>SQRT((U7^2)+(U6^2)+(U5^2)+(U4^2)+(U3^2)+(U2^2))</f>
        <v>2.7027807844638398</v>
      </c>
      <c r="X7" s="11">
        <f t="shared" si="14"/>
        <v>1.9713263300338151</v>
      </c>
      <c r="Y7" s="5">
        <f t="shared" si="15"/>
        <v>2.6347216076937807E-2</v>
      </c>
      <c r="Z7" s="5">
        <f t="shared" si="16"/>
        <v>6.9417579500485004E-4</v>
      </c>
      <c r="AA7" s="11">
        <f t="shared" si="7"/>
        <v>160.6333333334187</v>
      </c>
      <c r="AB7" s="16">
        <f t="shared" si="17"/>
        <v>0.99955876626611495</v>
      </c>
      <c r="AC7" s="11">
        <f t="shared" si="18"/>
        <v>1.9721965296725577</v>
      </c>
    </row>
    <row r="8" spans="1:31" x14ac:dyDescent="0.25">
      <c r="A8" s="27" t="s">
        <v>21</v>
      </c>
      <c r="B8" s="23">
        <v>43327.729861400461</v>
      </c>
      <c r="C8" s="13">
        <v>43333.21597222222</v>
      </c>
      <c r="D8" s="14">
        <v>232.09</v>
      </c>
      <c r="E8" s="5">
        <v>1.21</v>
      </c>
      <c r="F8" s="5">
        <f t="shared" si="8"/>
        <v>2.8082889999999998</v>
      </c>
      <c r="G8" s="11">
        <f t="shared" si="0"/>
        <v>224.59</v>
      </c>
      <c r="H8" s="5">
        <f t="shared" si="19"/>
        <v>2.8929544608835442</v>
      </c>
      <c r="I8" s="15">
        <f t="shared" si="9"/>
        <v>131.66665972222108</v>
      </c>
      <c r="J8" s="10">
        <f t="shared" si="10"/>
        <v>1.6666666666666666E-2</v>
      </c>
      <c r="K8" s="11">
        <f t="shared" si="1"/>
        <v>0.77381238186669998</v>
      </c>
      <c r="L8" s="5">
        <f t="shared" si="11"/>
        <v>9.795093957969597E-5</v>
      </c>
      <c r="M8" s="11">
        <f t="shared" si="2"/>
        <v>126.61429263654655</v>
      </c>
      <c r="N8" s="5">
        <f t="shared" si="3"/>
        <v>1.6310034667705611</v>
      </c>
      <c r="O8" s="11">
        <f t="shared" si="4"/>
        <v>97.975707363453466</v>
      </c>
      <c r="P8" s="5">
        <f t="shared" si="5"/>
        <v>1.2621516103254444</v>
      </c>
      <c r="Q8" s="11">
        <f t="shared" si="12"/>
        <v>224.59000000000003</v>
      </c>
      <c r="R8" s="11">
        <v>0.77909999999999968</v>
      </c>
      <c r="S8" s="5">
        <v>1.4142135623730951E-4</v>
      </c>
      <c r="T8" s="11">
        <f t="shared" si="6"/>
        <v>162.51353181433271</v>
      </c>
      <c r="U8" s="5">
        <f t="shared" si="13"/>
        <v>2.0936534303187173</v>
      </c>
      <c r="V8" s="11">
        <f>SUM($T$2:T8)</f>
        <v>390.70137053448389</v>
      </c>
      <c r="W8" s="5">
        <f>SQRT((U8^2)+(U7^2)+(U6^2)+(U5^2)+(U4^2)+(U3^2)+(U2^2))</f>
        <v>3.4188314751026123</v>
      </c>
      <c r="X8" s="11">
        <f t="shared" si="14"/>
        <v>2.1102382106091091</v>
      </c>
      <c r="Y8" s="5">
        <f t="shared" si="15"/>
        <v>2.7183391112842684E-2</v>
      </c>
      <c r="Z8" s="5">
        <f t="shared" si="16"/>
        <v>7.389367523937746E-4</v>
      </c>
      <c r="AA8" s="11">
        <f t="shared" si="7"/>
        <v>161.18333333329065</v>
      </c>
      <c r="AB8" s="16">
        <f t="shared" si="17"/>
        <v>0.99955725583973976</v>
      </c>
      <c r="AC8" s="11">
        <f t="shared" si="18"/>
        <v>2.1111729200907789</v>
      </c>
      <c r="AE8" t="s">
        <v>35</v>
      </c>
    </row>
    <row r="9" spans="1:31" x14ac:dyDescent="0.25">
      <c r="A9" s="27" t="s">
        <v>22</v>
      </c>
      <c r="B9" s="24">
        <v>43327.729977199073</v>
      </c>
      <c r="C9" s="13">
        <v>43333.238888888889</v>
      </c>
      <c r="D9" s="14">
        <v>199.64</v>
      </c>
      <c r="E9" s="5">
        <v>1.31</v>
      </c>
      <c r="F9" s="5">
        <f t="shared" si="8"/>
        <v>2.6152839999999999</v>
      </c>
      <c r="G9" s="11">
        <f t="shared" si="0"/>
        <v>192.14</v>
      </c>
      <c r="H9" s="5">
        <f t="shared" si="19"/>
        <v>2.7059949752135535</v>
      </c>
      <c r="I9" s="15">
        <f t="shared" si="9"/>
        <v>132.21388055558782</v>
      </c>
      <c r="J9" s="10">
        <f t="shared" si="10"/>
        <v>1.6666666666666666E-2</v>
      </c>
      <c r="K9" s="11">
        <f t="shared" si="1"/>
        <v>0.77520537117263288</v>
      </c>
      <c r="L9" s="5">
        <f t="shared" si="11"/>
        <v>9.7721127806333301E-5</v>
      </c>
      <c r="M9" s="11">
        <f t="shared" si="2"/>
        <v>108.23536426834922</v>
      </c>
      <c r="N9" s="5">
        <f t="shared" si="3"/>
        <v>1.5243889046109915</v>
      </c>
      <c r="O9" s="11">
        <f t="shared" si="4"/>
        <v>83.904635731650785</v>
      </c>
      <c r="P9" s="5">
        <f t="shared" si="5"/>
        <v>1.1817617996137384</v>
      </c>
      <c r="Q9" s="11">
        <f t="shared" si="12"/>
        <v>192.14</v>
      </c>
      <c r="R9" s="11">
        <v>0.84039999999999981</v>
      </c>
      <c r="S9" s="5">
        <v>1.4142135623730951E-4</v>
      </c>
      <c r="T9" s="11">
        <f t="shared" si="6"/>
        <v>128.79029541688391</v>
      </c>
      <c r="U9" s="5">
        <f t="shared" si="13"/>
        <v>1.8140144111745706</v>
      </c>
      <c r="V9" s="11">
        <f>SUM($T$2:T9)</f>
        <v>519.49166595136785</v>
      </c>
      <c r="W9" s="5">
        <f>SQRT((U9^2)+(U8^2)+(U7^2)+(U6^2)+(U5^2)+(U4^2)+(U3^2)+(U2^2))</f>
        <v>3.8702786642697093</v>
      </c>
      <c r="X9" s="11">
        <f t="shared" si="14"/>
        <v>1.8039227378058202</v>
      </c>
      <c r="Y9" s="5">
        <f t="shared" si="15"/>
        <v>2.5406481743516524E-2</v>
      </c>
      <c r="Z9" s="5">
        <f t="shared" si="16"/>
        <v>6.4548931458363839E-4</v>
      </c>
      <c r="AA9" s="11">
        <f t="shared" si="7"/>
        <v>161.73333333333721</v>
      </c>
      <c r="AB9" s="16">
        <f t="shared" si="17"/>
        <v>0.9995557454156464</v>
      </c>
      <c r="AC9" s="11">
        <f t="shared" si="18"/>
        <v>1.8047244949361909</v>
      </c>
      <c r="AE9">
        <f>LN(2)/252288</f>
        <v>2.7474441137110973E-6</v>
      </c>
    </row>
    <row r="10" spans="1:31" x14ac:dyDescent="0.25">
      <c r="A10" s="27" t="s">
        <v>23</v>
      </c>
      <c r="B10" s="24">
        <v>43327.730092997685</v>
      </c>
      <c r="C10" s="13">
        <v>43333.260416666664</v>
      </c>
      <c r="D10" s="14">
        <v>130.27000000000001</v>
      </c>
      <c r="E10" s="5">
        <v>1.62</v>
      </c>
      <c r="F10" s="5">
        <f t="shared" si="8"/>
        <v>2.1103740000000006</v>
      </c>
      <c r="G10" s="11">
        <f t="shared" si="0"/>
        <v>122.77000000000001</v>
      </c>
      <c r="H10" s="5">
        <f t="shared" si="19"/>
        <v>2.2217958558564743</v>
      </c>
      <c r="I10" s="15">
        <f t="shared" si="9"/>
        <v>132.72776805551257</v>
      </c>
      <c r="J10" s="10">
        <f t="shared" si="10"/>
        <v>1.6666666666666666E-2</v>
      </c>
      <c r="K10" s="11">
        <f t="shared" si="1"/>
        <v>0.7765056962765764</v>
      </c>
      <c r="L10" s="5">
        <f t="shared" si="11"/>
        <v>9.7506059163119456E-5</v>
      </c>
      <c r="M10" s="11">
        <f t="shared" si="2"/>
        <v>69.107574637850462</v>
      </c>
      <c r="N10" s="5">
        <f t="shared" si="3"/>
        <v>1.2506851759151876</v>
      </c>
      <c r="O10" s="11">
        <f t="shared" si="4"/>
        <v>53.662425362149541</v>
      </c>
      <c r="P10" s="5">
        <f t="shared" si="5"/>
        <v>0.97118754023182263</v>
      </c>
      <c r="Q10" s="11">
        <f t="shared" si="12"/>
        <v>122.77000000000001</v>
      </c>
      <c r="R10" s="11">
        <v>0.8039000000000005</v>
      </c>
      <c r="S10" s="5">
        <v>1.4142135623730951E-4</v>
      </c>
      <c r="T10" s="11">
        <f t="shared" si="6"/>
        <v>85.965387035514894</v>
      </c>
      <c r="U10" s="5">
        <f t="shared" si="13"/>
        <v>1.5558455809342839</v>
      </c>
      <c r="V10" s="11">
        <f>SUM($T$2:T10)</f>
        <v>605.45705298688279</v>
      </c>
      <c r="W10" s="5">
        <f>SQRT((U10^2)+(U9^2)+(U8^2)+(U7^2)+(U6^2)+(U5^2)+(U4^2)+(U3^2)+(U2^2))</f>
        <v>4.1712962506652618</v>
      </c>
      <c r="X10" s="11">
        <f t="shared" si="14"/>
        <v>1.1517929106308411</v>
      </c>
      <c r="Y10" s="5">
        <f t="shared" si="15"/>
        <v>2.0844752931919796E-2</v>
      </c>
      <c r="Z10" s="5">
        <f t="shared" si="16"/>
        <v>4.3450372479277895E-4</v>
      </c>
      <c r="AA10" s="11">
        <f t="shared" si="7"/>
        <v>162.24999999994179</v>
      </c>
      <c r="AB10" s="16">
        <f t="shared" si="17"/>
        <v>0.99955432653448661</v>
      </c>
      <c r="AC10" s="11">
        <f t="shared" si="18"/>
        <v>1.1523064630455602</v>
      </c>
    </row>
    <row r="11" spans="1:31" x14ac:dyDescent="0.25">
      <c r="A11" s="27" t="s">
        <v>24</v>
      </c>
      <c r="B11" s="23">
        <v>43327.730208796296</v>
      </c>
      <c r="C11" s="13">
        <v>43333.283333333333</v>
      </c>
      <c r="D11" s="14">
        <v>86.73</v>
      </c>
      <c r="E11" s="5">
        <v>1.98</v>
      </c>
      <c r="F11" s="5">
        <f t="shared" si="8"/>
        <v>1.7172539999999998</v>
      </c>
      <c r="G11" s="11">
        <f t="shared" si="0"/>
        <v>79.23</v>
      </c>
      <c r="H11" s="5">
        <f t="shared" si="19"/>
        <v>1.8524739419870391</v>
      </c>
      <c r="I11" s="15">
        <f t="shared" si="9"/>
        <v>133.27498888887931</v>
      </c>
      <c r="J11" s="10">
        <f t="shared" si="10"/>
        <v>1.6666666666666666E-2</v>
      </c>
      <c r="K11" s="11">
        <f t="shared" si="1"/>
        <v>0.7778820986525905</v>
      </c>
      <c r="L11" s="5">
        <f t="shared" si="11"/>
        <v>9.7277829488467792E-5</v>
      </c>
      <c r="M11" s="11">
        <f t="shared" si="2"/>
        <v>44.564259947297018</v>
      </c>
      <c r="N11" s="5">
        <f t="shared" si="3"/>
        <v>1.0419703535142879</v>
      </c>
      <c r="O11" s="11">
        <f t="shared" si="4"/>
        <v>34.665740052702986</v>
      </c>
      <c r="P11" s="5">
        <f t="shared" si="5"/>
        <v>0.81054167840727465</v>
      </c>
      <c r="Q11" s="11">
        <f t="shared" si="12"/>
        <v>79.23</v>
      </c>
      <c r="R11" s="11">
        <v>0.84640000000000004</v>
      </c>
      <c r="S11" s="5">
        <v>1.4142135623730951E-4</v>
      </c>
      <c r="T11" s="11">
        <f t="shared" si="6"/>
        <v>52.651535854556968</v>
      </c>
      <c r="U11" s="5">
        <f t="shared" si="13"/>
        <v>1.231092814729152</v>
      </c>
      <c r="V11" s="11">
        <f>SUM($T$2:T11)</f>
        <v>658.10858884143977</v>
      </c>
      <c r="W11" s="5">
        <f>SQRT((U11^2)+(U10^2)+(U9^2)+(U8^2)+(U7^2)+(U6^2)+(U5^2)+(U4^2)+(U3^2)+(U2^2))</f>
        <v>4.3491725568539836</v>
      </c>
      <c r="X11" s="11">
        <f t="shared" si="14"/>
        <v>0.7427376657882836</v>
      </c>
      <c r="Y11" s="5">
        <f t="shared" si="15"/>
        <v>1.7366172558571466E-2</v>
      </c>
      <c r="Z11" s="5">
        <f t="shared" si="16"/>
        <v>3.015839493340806E-4</v>
      </c>
      <c r="AA11" s="11">
        <f t="shared" si="7"/>
        <v>162.79999999998836</v>
      </c>
      <c r="AB11" s="16">
        <f t="shared" si="17"/>
        <v>0.99955281611481972</v>
      </c>
      <c r="AC11" s="11">
        <f t="shared" si="18"/>
        <v>0.74306995469758597</v>
      </c>
    </row>
    <row r="12" spans="1:31" x14ac:dyDescent="0.25">
      <c r="A12" s="27" t="s">
        <v>25</v>
      </c>
      <c r="B12" s="24">
        <v>43327.730324594908</v>
      </c>
      <c r="C12" s="13">
        <v>43333.306249942128</v>
      </c>
      <c r="D12" s="14">
        <v>59.02</v>
      </c>
      <c r="E12" s="5">
        <v>2.4</v>
      </c>
      <c r="F12" s="5">
        <f t="shared" si="8"/>
        <v>1.4164800000000002</v>
      </c>
      <c r="G12" s="11">
        <f t="shared" si="0"/>
        <v>51.52</v>
      </c>
      <c r="H12" s="5">
        <f t="shared" si="19"/>
        <v>1.5776926175985615</v>
      </c>
      <c r="I12" s="15">
        <f t="shared" si="9"/>
        <v>133.82220833329484</v>
      </c>
      <c r="J12" s="10">
        <f t="shared" si="10"/>
        <v>1.6666666666666666E-2</v>
      </c>
      <c r="K12" s="11">
        <f t="shared" si="1"/>
        <v>0.7792500209149742</v>
      </c>
      <c r="L12" s="5">
        <f t="shared" si="11"/>
        <v>9.7050411216025533E-5</v>
      </c>
      <c r="M12" s="11">
        <f t="shared" si="2"/>
        <v>28.956020454902674</v>
      </c>
      <c r="N12" s="5">
        <f t="shared" si="3"/>
        <v>0.88672510714807173</v>
      </c>
      <c r="O12" s="11">
        <f t="shared" si="4"/>
        <v>22.563979545097329</v>
      </c>
      <c r="P12" s="5">
        <f t="shared" si="5"/>
        <v>0.69098627274692348</v>
      </c>
      <c r="Q12" s="11">
        <f t="shared" si="12"/>
        <v>51.52</v>
      </c>
      <c r="R12" s="11">
        <v>0.82960000000000012</v>
      </c>
      <c r="S12" s="5">
        <v>1.4142135623730951E-4</v>
      </c>
      <c r="T12" s="11">
        <f t="shared" si="6"/>
        <v>34.903592640914503</v>
      </c>
      <c r="U12" s="5">
        <f t="shared" si="13"/>
        <v>1.0688751758911876</v>
      </c>
      <c r="V12" s="11">
        <f>SUM($T$2:T12)</f>
        <v>693.01218148235432</v>
      </c>
      <c r="W12" s="5">
        <f>SQRT((U12^2)+(U11^2)+(U10^2)+(U9^2)+(U8^2)+(U7^2)+(U6^2)+(U5^2)+(U4^2)+(U3^2)+(U2^2))</f>
        <v>4.4785930905730016</v>
      </c>
      <c r="X12" s="11">
        <f t="shared" si="14"/>
        <v>0.48260034091504456</v>
      </c>
      <c r="Y12" s="5">
        <f t="shared" si="15"/>
        <v>1.4778751785801195E-2</v>
      </c>
      <c r="Z12" s="5">
        <f t="shared" si="16"/>
        <v>2.1841150434632201E-4</v>
      </c>
      <c r="AA12" s="11">
        <f t="shared" si="7"/>
        <v>163.34999861108372</v>
      </c>
      <c r="AB12" s="16">
        <f t="shared" si="17"/>
        <v>0.99955130570124961</v>
      </c>
      <c r="AC12" s="11">
        <f t="shared" si="18"/>
        <v>0.48281697814047608</v>
      </c>
    </row>
    <row r="13" spans="1:31" x14ac:dyDescent="0.25">
      <c r="A13" s="27" t="s">
        <v>26</v>
      </c>
      <c r="B13" s="24">
        <v>43327.73044039352</v>
      </c>
      <c r="C13" s="13">
        <v>43333.329166608797</v>
      </c>
      <c r="D13" s="14">
        <v>39.950000000000003</v>
      </c>
      <c r="E13" s="5">
        <v>2.92</v>
      </c>
      <c r="F13" s="5">
        <f t="shared" si="8"/>
        <v>1.1665400000000001</v>
      </c>
      <c r="G13" s="11">
        <f t="shared" si="0"/>
        <v>32.450000000000003</v>
      </c>
      <c r="H13" s="5">
        <f t="shared" si="19"/>
        <v>1.3577606478407747</v>
      </c>
      <c r="I13" s="15">
        <f t="shared" si="9"/>
        <v>134.36942916666158</v>
      </c>
      <c r="J13" s="10">
        <f t="shared" si="10"/>
        <v>1.6666666666666666E-2</v>
      </c>
      <c r="K13" s="11">
        <f t="shared" si="1"/>
        <v>0.78060952221167712</v>
      </c>
      <c r="L13" s="5">
        <f t="shared" si="11"/>
        <v>9.6823799760220347E-5</v>
      </c>
      <c r="M13" s="11">
        <f t="shared" si="2"/>
        <v>18.224096633884212</v>
      </c>
      <c r="N13" s="5">
        <f t="shared" si="3"/>
        <v>0.76252912092534131</v>
      </c>
      <c r="O13" s="11">
        <f t="shared" si="4"/>
        <v>14.225903366115787</v>
      </c>
      <c r="P13" s="5">
        <f t="shared" si="5"/>
        <v>0.59524010813944594</v>
      </c>
      <c r="Q13" s="11">
        <f t="shared" si="12"/>
        <v>32.450000000000003</v>
      </c>
      <c r="R13" s="11">
        <v>0.83340000000000014</v>
      </c>
      <c r="S13" s="5">
        <v>1.4142135623730951E-4</v>
      </c>
      <c r="T13" s="11">
        <f t="shared" si="6"/>
        <v>21.867166587334065</v>
      </c>
      <c r="U13" s="5">
        <f t="shared" si="13"/>
        <v>0.91496927259544081</v>
      </c>
      <c r="V13" s="11">
        <f>SUM($T$2:T13)</f>
        <v>714.87934806968838</v>
      </c>
      <c r="W13" s="5">
        <f>SQRT((U13^2)+(U12^2)+(U11^2)+(U10^2)+(U9^2)+(U8^2)+(U7^2)+(U6^2)+(U5^2)+(U4^2)+(U3^2)+(U2^2))</f>
        <v>4.5711010534358198</v>
      </c>
      <c r="X13" s="11">
        <f t="shared" si="14"/>
        <v>0.30373494389807021</v>
      </c>
      <c r="Y13" s="5">
        <f t="shared" si="15"/>
        <v>1.2708818682089023E-2</v>
      </c>
      <c r="Z13" s="5">
        <f t="shared" si="16"/>
        <v>1.6151407229421497E-4</v>
      </c>
      <c r="AA13" s="11">
        <f t="shared" si="7"/>
        <v>163.89999861113029</v>
      </c>
      <c r="AB13" s="16">
        <f t="shared" si="17"/>
        <v>0.99954979528614751</v>
      </c>
      <c r="AC13" s="11">
        <f t="shared" si="18"/>
        <v>0.30387174839160269</v>
      </c>
    </row>
    <row r="14" spans="1:31" x14ac:dyDescent="0.25">
      <c r="A14" s="27" t="s">
        <v>27</v>
      </c>
      <c r="B14" s="23">
        <v>43327.730556192131</v>
      </c>
      <c r="C14" s="13">
        <v>43333.352083275466</v>
      </c>
      <c r="D14" s="14">
        <v>27.6</v>
      </c>
      <c r="E14" s="5">
        <v>3.52</v>
      </c>
      <c r="F14" s="5">
        <f t="shared" si="8"/>
        <v>0.97152000000000016</v>
      </c>
      <c r="G14" s="11">
        <f t="shared" si="0"/>
        <v>20.100000000000001</v>
      </c>
      <c r="H14" s="5">
        <f t="shared" si="19"/>
        <v>1.1943824829697565</v>
      </c>
      <c r="I14" s="15">
        <f t="shared" si="9"/>
        <v>134.91665000002831</v>
      </c>
      <c r="J14" s="10">
        <f t="shared" si="10"/>
        <v>1.6666666666666666E-2</v>
      </c>
      <c r="K14" s="11">
        <f t="shared" si="1"/>
        <v>0.78196065094235123</v>
      </c>
      <c r="L14" s="5">
        <f t="shared" si="11"/>
        <v>9.659799228414817E-5</v>
      </c>
      <c r="M14" s="11">
        <f t="shared" si="2"/>
        <v>11.279710351275462</v>
      </c>
      <c r="N14" s="5">
        <f t="shared" si="3"/>
        <v>0.67026455568367993</v>
      </c>
      <c r="O14" s="11">
        <f t="shared" si="4"/>
        <v>8.8202896487245379</v>
      </c>
      <c r="P14" s="5">
        <f t="shared" si="5"/>
        <v>0.52412164085013935</v>
      </c>
      <c r="Q14" s="11">
        <f t="shared" si="12"/>
        <v>20.100000000000001</v>
      </c>
      <c r="R14" s="11">
        <v>0.84189999999999987</v>
      </c>
      <c r="S14" s="5">
        <v>1.4142135623730951E-4</v>
      </c>
      <c r="T14" s="11">
        <f t="shared" si="6"/>
        <v>13.397921785574846</v>
      </c>
      <c r="U14" s="5">
        <f t="shared" si="13"/>
        <v>0.79613639837229055</v>
      </c>
      <c r="V14" s="11">
        <f>SUM($T$2:T14)</f>
        <v>728.27726985526317</v>
      </c>
      <c r="W14" s="5">
        <f>SQRT((U14^2)+(U13^2)+(U12^2)+(U11^2)+(U10^2)+(U9^2)+(U8^2)+(U7^2)+(U6^2)+(U5^2)+(U4^2)+(U3^2)+(U2^2))</f>
        <v>4.6399135773778442</v>
      </c>
      <c r="X14" s="11">
        <f t="shared" si="14"/>
        <v>0.18799517252125769</v>
      </c>
      <c r="Y14" s="5">
        <f t="shared" si="15"/>
        <v>1.1171075928061332E-2</v>
      </c>
      <c r="Z14" s="5">
        <f t="shared" si="16"/>
        <v>1.2479293739051133E-4</v>
      </c>
      <c r="AA14" s="11">
        <f t="shared" si="7"/>
        <v>164.44999861117685</v>
      </c>
      <c r="AB14" s="16">
        <f t="shared" si="17"/>
        <v>0.99954828487332781</v>
      </c>
      <c r="AC14" s="11">
        <f t="shared" si="18"/>
        <v>0.18808013116152986</v>
      </c>
    </row>
    <row r="15" spans="1:31" x14ac:dyDescent="0.25">
      <c r="A15" s="27" t="s">
        <v>28</v>
      </c>
      <c r="B15" s="24">
        <v>43327.730671990743</v>
      </c>
      <c r="C15" s="13">
        <v>43333.374999942127</v>
      </c>
      <c r="D15" s="14">
        <v>18.86</v>
      </c>
      <c r="E15" s="5">
        <v>4.25</v>
      </c>
      <c r="F15" s="5">
        <f t="shared" si="8"/>
        <v>0.80154999999999998</v>
      </c>
      <c r="G15" s="11">
        <f t="shared" si="0"/>
        <v>11.36</v>
      </c>
      <c r="H15" s="5">
        <f t="shared" si="19"/>
        <v>1.0607454019344134</v>
      </c>
      <c r="I15" s="15">
        <f t="shared" si="9"/>
        <v>135.46387083322043</v>
      </c>
      <c r="J15" s="10">
        <f t="shared" si="10"/>
        <v>1.6666666666666666E-2</v>
      </c>
      <c r="K15" s="11">
        <f t="shared" si="1"/>
        <v>0.78330345866949336</v>
      </c>
      <c r="L15" s="5">
        <f t="shared" si="11"/>
        <v>9.6372985388588236E-5</v>
      </c>
      <c r="M15" s="11">
        <f t="shared" si="2"/>
        <v>6.3702001724796702</v>
      </c>
      <c r="N15" s="5">
        <f t="shared" si="3"/>
        <v>0.59482098662388394</v>
      </c>
      <c r="O15" s="11">
        <f t="shared" si="4"/>
        <v>4.9897998275203284</v>
      </c>
      <c r="P15" s="5">
        <f t="shared" si="5"/>
        <v>0.46592574056674829</v>
      </c>
      <c r="Q15" s="11">
        <f t="shared" si="12"/>
        <v>11.36</v>
      </c>
      <c r="R15" s="11">
        <v>0.76130000000000031</v>
      </c>
      <c r="S15" s="5">
        <v>1.4142135623730951E-4</v>
      </c>
      <c r="T15" s="11">
        <f t="shared" si="6"/>
        <v>8.3675294528827902</v>
      </c>
      <c r="U15" s="5">
        <f t="shared" si="13"/>
        <v>0.7813242660039128</v>
      </c>
      <c r="V15" s="11">
        <f>SUM($T$2:T15)</f>
        <v>736.64479930814593</v>
      </c>
      <c r="W15" s="5">
        <f>SQRT((U15^2)+(U14^2)+(U13^2)+(U12^2)+(U11^2)+(U10^2)+(U9^2)+(U8^2)+(U7^2)+(U6^2)+(U5^2)+(U4^2)+(U3^2)+(U2^2))</f>
        <v>4.7052381038776154</v>
      </c>
      <c r="X15" s="11">
        <f t="shared" si="14"/>
        <v>0.10617000287466118</v>
      </c>
      <c r="Y15" s="5">
        <f t="shared" si="15"/>
        <v>9.9136831103980669E-3</v>
      </c>
      <c r="Z15" s="5">
        <f t="shared" si="16"/>
        <v>9.8281112813391891E-5</v>
      </c>
      <c r="AA15" s="11">
        <f t="shared" si="7"/>
        <v>164.9999986110488</v>
      </c>
      <c r="AB15" s="16">
        <f t="shared" si="17"/>
        <v>0.99954677446279094</v>
      </c>
      <c r="AC15" s="11">
        <f t="shared" si="18"/>
        <v>0.10621814364987824</v>
      </c>
    </row>
    <row r="16" spans="1:31" x14ac:dyDescent="0.25">
      <c r="A16" s="27" t="s">
        <v>29</v>
      </c>
      <c r="B16" s="24">
        <v>43327.730787789355</v>
      </c>
      <c r="C16" s="13">
        <v>43333.397916608796</v>
      </c>
      <c r="D16" s="14">
        <v>16.13</v>
      </c>
      <c r="E16" s="5">
        <v>4.5999999999999996</v>
      </c>
      <c r="F16" s="5">
        <f t="shared" si="8"/>
        <v>0.74197999999999997</v>
      </c>
      <c r="G16" s="11">
        <f t="shared" si="0"/>
        <v>8.629999999999999</v>
      </c>
      <c r="H16" s="5">
        <f t="shared" si="19"/>
        <v>1.0164805584097514</v>
      </c>
      <c r="I16" s="15">
        <f t="shared" si="9"/>
        <v>136.01109166658716</v>
      </c>
      <c r="J16" s="10">
        <f t="shared" si="10"/>
        <v>1.6666666666666666E-2</v>
      </c>
      <c r="K16" s="11">
        <f t="shared" si="1"/>
        <v>0.78463799663933109</v>
      </c>
      <c r="L16" s="5">
        <f t="shared" si="11"/>
        <v>9.6148775689898058E-5</v>
      </c>
      <c r="M16" s="11">
        <f t="shared" si="2"/>
        <v>4.835714590998978</v>
      </c>
      <c r="N16" s="5">
        <f t="shared" si="3"/>
        <v>0.56957271470370685</v>
      </c>
      <c r="O16" s="11">
        <f t="shared" si="4"/>
        <v>3.7942854090010205</v>
      </c>
      <c r="P16" s="5">
        <f t="shared" si="5"/>
        <v>0.44690863566340588</v>
      </c>
      <c r="Q16" s="11">
        <f t="shared" si="12"/>
        <v>8.629999999999999</v>
      </c>
      <c r="R16" s="11">
        <v>0.67170000000000041</v>
      </c>
      <c r="S16" s="5">
        <v>1.4142135623730951E-4</v>
      </c>
      <c r="T16" s="11">
        <f t="shared" si="6"/>
        <v>7.1992177921675973</v>
      </c>
      <c r="U16" s="5">
        <f t="shared" si="13"/>
        <v>0.84795835143842502</v>
      </c>
      <c r="V16" s="11">
        <f>SUM($T$2:T16)</f>
        <v>743.84401710031352</v>
      </c>
      <c r="W16" s="5">
        <f>SQRT((U16^2)+(U15^2)+(U14^2)+(U13^2)+(U12^2)+(U11^2)+(U10^2)+(U9^2)+(U8^2)+(U7^2)+(U6^2)+(U5^2)+(U4^2)+(U3^2)+(U2^2))</f>
        <v>4.7810353460266315</v>
      </c>
      <c r="X16" s="11">
        <f t="shared" si="14"/>
        <v>8.0595243183316304E-2</v>
      </c>
      <c r="Y16" s="5">
        <f t="shared" si="15"/>
        <v>9.4928785783951145E-3</v>
      </c>
      <c r="Z16" s="5">
        <f t="shared" si="16"/>
        <v>9.0114743704152852E-5</v>
      </c>
      <c r="AA16" s="11">
        <f t="shared" si="7"/>
        <v>165.54999861109536</v>
      </c>
      <c r="AB16" s="16">
        <f t="shared" si="17"/>
        <v>0.99954526405453592</v>
      </c>
      <c r="AC16" s="11">
        <f t="shared" si="18"/>
        <v>8.0631909410876834E-2</v>
      </c>
    </row>
    <row r="17" spans="1:29" x14ac:dyDescent="0.25">
      <c r="A17" s="27" t="s">
        <v>30</v>
      </c>
      <c r="B17" s="23">
        <v>43327.730903587966</v>
      </c>
      <c r="C17" s="13">
        <v>43333.420833275464</v>
      </c>
      <c r="D17" s="14">
        <v>14.15</v>
      </c>
      <c r="E17" s="5">
        <v>4.91</v>
      </c>
      <c r="F17" s="5">
        <f t="shared" si="8"/>
        <v>0.69476500000000008</v>
      </c>
      <c r="G17" s="11">
        <f t="shared" si="0"/>
        <v>6.65</v>
      </c>
      <c r="H17" s="5">
        <f t="shared" si="19"/>
        <v>0.98254608566214352</v>
      </c>
      <c r="I17" s="15">
        <f>(C17-B17)*24</f>
        <v>136.5583124999539</v>
      </c>
      <c r="J17" s="10">
        <f t="shared" si="10"/>
        <v>1.6666666666666666E-2</v>
      </c>
      <c r="K17" s="11">
        <f t="shared" si="1"/>
        <v>0.78596431578120796</v>
      </c>
      <c r="L17" s="5">
        <f t="shared" si="11"/>
        <v>9.592535982036651E-5</v>
      </c>
      <c r="M17" s="11">
        <f t="shared" si="2"/>
        <v>3.7234786502949748</v>
      </c>
      <c r="N17" s="5">
        <f t="shared" si="3"/>
        <v>0.55014896557206305</v>
      </c>
      <c r="O17" s="11">
        <f t="shared" si="4"/>
        <v>2.9265213497050255</v>
      </c>
      <c r="P17" s="5">
        <f t="shared" si="5"/>
        <v>0.43239760282375811</v>
      </c>
      <c r="Q17" s="11">
        <f t="shared" si="12"/>
        <v>6.65</v>
      </c>
      <c r="R17" s="11">
        <v>0.78920000000000012</v>
      </c>
      <c r="S17" s="5">
        <v>1.4142135623731E-4</v>
      </c>
      <c r="T17" s="11">
        <f t="shared" si="6"/>
        <v>4.718041878224752</v>
      </c>
      <c r="U17" s="5">
        <f t="shared" si="13"/>
        <v>0.6970975293818148</v>
      </c>
      <c r="V17" s="11">
        <f>SUM($T$2:T17)</f>
        <v>748.56205897853829</v>
      </c>
      <c r="W17" s="5">
        <f>SQRT((U17^2)+(U16^2)+(U15^2)+(U14^2)+(U13^2)+(U12^2)+(U11^2)+(U10^2)+(U9^2)+(U8^2)+(U7^2)+(U6^2)+(U5^2)+(U4^2)+(U3^2)+(U2^2))</f>
        <v>4.8315881390518189</v>
      </c>
      <c r="X17" s="11">
        <f t="shared" si="14"/>
        <v>6.2057977504916248E-2</v>
      </c>
      <c r="Y17" s="5">
        <f>X17*SQRT(((N17/M17)^2))</f>
        <v>9.1691494262010498E-3</v>
      </c>
      <c r="Z17" s="5">
        <f>Y17^2</f>
        <v>8.4073301200003042E-5</v>
      </c>
      <c r="AA17" s="11">
        <f t="shared" si="7"/>
        <v>166.09999861114193</v>
      </c>
      <c r="AB17" s="16">
        <f t="shared" si="17"/>
        <v>0.9995437536485634</v>
      </c>
      <c r="AC17" s="11">
        <f t="shared" si="18"/>
        <v>6.2086304154660994E-2</v>
      </c>
    </row>
    <row r="18" spans="1:29" x14ac:dyDescent="0.25">
      <c r="A18" s="27" t="s">
        <v>31</v>
      </c>
      <c r="B18" s="24">
        <v>43327.731019386571</v>
      </c>
      <c r="C18" s="13">
        <v>43333.443749942133</v>
      </c>
      <c r="D18" s="14">
        <v>12.04</v>
      </c>
      <c r="E18" s="5">
        <v>5.32</v>
      </c>
      <c r="F18" s="5">
        <f>D18*(E18/100)</f>
        <v>0.64052799999999999</v>
      </c>
      <c r="G18" s="11">
        <f t="shared" si="0"/>
        <v>4.5399999999999991</v>
      </c>
      <c r="H18" s="5">
        <f>SQRT((F18^2)+(F$17^2))</f>
        <v>0.94497329274905972</v>
      </c>
      <c r="I18" s="15">
        <f t="shared" si="9"/>
        <v>137.10553333349526</v>
      </c>
      <c r="J18" s="10">
        <f t="shared" si="10"/>
        <v>1.6666666666666666E-2</v>
      </c>
      <c r="K18" s="11">
        <f t="shared" si="1"/>
        <v>0.78728246671166224</v>
      </c>
      <c r="L18" s="5">
        <f t="shared" si="11"/>
        <v>9.570273442777806E-5</v>
      </c>
      <c r="M18" s="11">
        <f t="shared" si="2"/>
        <v>2.5401692706989589</v>
      </c>
      <c r="N18" s="5">
        <f t="shared" si="3"/>
        <v>0.52872082141826038</v>
      </c>
      <c r="O18" s="11">
        <f t="shared" si="4"/>
        <v>1.9998307293010404</v>
      </c>
      <c r="P18" s="5">
        <f t="shared" si="5"/>
        <v>0.41625270347631821</v>
      </c>
      <c r="Q18" s="11">
        <f t="shared" si="12"/>
        <v>4.5399999999999991</v>
      </c>
      <c r="R18" s="11">
        <v>0.99209999999999976</v>
      </c>
      <c r="S18" s="5">
        <v>1.4142135623731E-4</v>
      </c>
      <c r="T18" s="11">
        <f t="shared" si="6"/>
        <v>2.5603964022769472</v>
      </c>
      <c r="U18" s="5">
        <f t="shared" si="13"/>
        <v>0.53293110110737762</v>
      </c>
      <c r="V18" s="11">
        <f>SUM($T$2:T18)</f>
        <v>751.12245538081527</v>
      </c>
      <c r="W18" s="5">
        <f>SQRT((U18^2)+(U17^2)+(U16^2)+(U15^2)+(U14^2)+(U13^2)+(U12^2)+(U11^2)+(U10^2)+(U9^2)+(U8^2)+(U7^2)+(U6^2)+(U5^2)+(U4^2)+(U3^2)+(U2^2))</f>
        <v>4.8608908138276199</v>
      </c>
      <c r="X18" s="11">
        <f t="shared" si="14"/>
        <v>4.2336154511649314E-2</v>
      </c>
      <c r="Y18" s="5">
        <f t="shared" ref="Y18:Y22" si="20">X18*SQRT(((N18/M18)^2))</f>
        <v>8.8120136903043402E-3</v>
      </c>
      <c r="Z18" s="5">
        <f t="shared" ref="Z18:Z22" si="21">Y18^2</f>
        <v>7.7651585278111111E-5</v>
      </c>
      <c r="AA18" s="11">
        <f t="shared" si="7"/>
        <v>166.64999861118849</v>
      </c>
      <c r="AB18" s="16">
        <f t="shared" si="17"/>
        <v>0.99954224324487306</v>
      </c>
      <c r="AC18" s="11">
        <f t="shared" si="18"/>
        <v>4.2355543047596422E-2</v>
      </c>
    </row>
    <row r="19" spans="1:29" x14ac:dyDescent="0.25">
      <c r="A19" s="27" t="s">
        <v>32</v>
      </c>
      <c r="B19" s="24">
        <v>43327.731135185182</v>
      </c>
      <c r="C19" s="13">
        <v>43333.466666608794</v>
      </c>
      <c r="D19" s="14">
        <v>11.63</v>
      </c>
      <c r="E19" s="5">
        <v>5.42</v>
      </c>
      <c r="F19" s="5">
        <f t="shared" si="8"/>
        <v>0.63034600000000007</v>
      </c>
      <c r="G19" s="11">
        <f t="shared" si="0"/>
        <v>4.1300000000000008</v>
      </c>
      <c r="H19" s="5">
        <f>SQRT((F19^2)+(F$17^2))</f>
        <v>0.93810153231992977</v>
      </c>
      <c r="I19" s="15">
        <f t="shared" si="9"/>
        <v>137.65275416668737</v>
      </c>
      <c r="J19" s="10">
        <f t="shared" si="10"/>
        <v>1.6666666666666666E-2</v>
      </c>
      <c r="K19" s="11">
        <f t="shared" si="1"/>
        <v>0.78859249973383316</v>
      </c>
      <c r="L19" s="5">
        <f t="shared" si="11"/>
        <v>9.5480896175762384E-5</v>
      </c>
      <c r="M19" s="11">
        <f t="shared" si="2"/>
        <v>2.3090782280561957</v>
      </c>
      <c r="N19" s="5">
        <f t="shared" si="3"/>
        <v>0.52449155731911856</v>
      </c>
      <c r="O19" s="11">
        <f t="shared" si="4"/>
        <v>1.8209217719438053</v>
      </c>
      <c r="P19" s="5">
        <f t="shared" si="5"/>
        <v>0.41361016703656361</v>
      </c>
      <c r="Q19" s="11">
        <f t="shared" si="12"/>
        <v>4.1300000000000008</v>
      </c>
      <c r="R19" s="11">
        <v>0.84550000000000036</v>
      </c>
      <c r="S19" s="5">
        <v>1.4142135623731E-4</v>
      </c>
      <c r="T19" s="11">
        <f t="shared" si="6"/>
        <v>2.7310209675413302</v>
      </c>
      <c r="U19" s="5">
        <f t="shared" si="13"/>
        <v>0.62033317507157737</v>
      </c>
      <c r="V19" s="11">
        <f>SUM($T$2:T19)</f>
        <v>753.85347634835659</v>
      </c>
      <c r="W19" s="5">
        <f>SQRT((U19^2)+(U18^2)+(U17^2)+(U16^2)+(U15^2)+(U14^2)+(U13^2)+(U12^2)+(U11^2)+(U10^2)+(U9^2)+(U8^2)+(U7^2)+(U6^2)+(U5^2)+(U4^2)+(U3^2)+(U2^2))</f>
        <v>4.9003135360962489</v>
      </c>
      <c r="X19" s="11">
        <f t="shared" si="14"/>
        <v>3.8484637134269931E-2</v>
      </c>
      <c r="Y19" s="5">
        <f t="shared" si="20"/>
        <v>8.7415259553186436E-3</v>
      </c>
      <c r="Z19" s="5">
        <f t="shared" si="21"/>
        <v>7.6414276027509528E-5</v>
      </c>
      <c r="AA19" s="11">
        <f t="shared" si="7"/>
        <v>167.19999861106044</v>
      </c>
      <c r="AB19" s="16">
        <f t="shared" si="17"/>
        <v>0.99954073284346567</v>
      </c>
      <c r="AC19" s="11">
        <f t="shared" si="18"/>
        <v>3.8502319985289551E-2</v>
      </c>
    </row>
    <row r="20" spans="1:29" x14ac:dyDescent="0.25">
      <c r="A20" s="27" t="s">
        <v>33</v>
      </c>
      <c r="B20" s="23">
        <v>43327.731250983794</v>
      </c>
      <c r="C20" s="13">
        <v>43333.489583275463</v>
      </c>
      <c r="D20" s="14">
        <v>8.9</v>
      </c>
      <c r="E20" s="5">
        <v>6.19</v>
      </c>
      <c r="F20" s="5">
        <f t="shared" si="8"/>
        <v>0.55091000000000001</v>
      </c>
      <c r="G20" s="11">
        <f t="shared" si="0"/>
        <v>1.4000000000000004</v>
      </c>
      <c r="H20" s="5">
        <f t="shared" ref="H20:H22" si="22">SQRT((F20^2)+(F$17^2))</f>
        <v>0.88667932947881456</v>
      </c>
      <c r="I20" s="15">
        <f t="shared" si="9"/>
        <v>138.19997500005411</v>
      </c>
      <c r="J20" s="10">
        <f t="shared" si="10"/>
        <v>1.6666666666666666E-2</v>
      </c>
      <c r="K20" s="11">
        <f t="shared" si="1"/>
        <v>0.7898944648435734</v>
      </c>
      <c r="L20" s="5">
        <f t="shared" si="11"/>
        <v>9.5259841743008524E-5</v>
      </c>
      <c r="M20" s="11">
        <f t="shared" si="2"/>
        <v>0.78216902029603874</v>
      </c>
      <c r="N20" s="5">
        <f t="shared" si="3"/>
        <v>0.49538079644876598</v>
      </c>
      <c r="O20" s="11">
        <f t="shared" si="4"/>
        <v>0.61783097970396161</v>
      </c>
      <c r="P20" s="5">
        <f t="shared" si="5"/>
        <v>0.39129855619854248</v>
      </c>
      <c r="Q20" s="11">
        <f t="shared" si="12"/>
        <v>1.4000000000000004</v>
      </c>
      <c r="R20" s="11">
        <v>0.76569999999999983</v>
      </c>
      <c r="S20" s="5">
        <v>1.4142135623731E-4</v>
      </c>
      <c r="T20" s="11">
        <f t="shared" si="6"/>
        <v>1.021508450171136</v>
      </c>
      <c r="U20" s="5">
        <f t="shared" si="13"/>
        <v>0.64696463042047203</v>
      </c>
      <c r="V20" s="11">
        <f>SUM($T$2:T20)</f>
        <v>754.87498479852775</v>
      </c>
      <c r="W20" s="5">
        <f>SQRT((U20^2)+(U19^2)+(U18^2)+(U17^2)+(U16^2)+(U15^2)+(U14^2)+(U13^2)+(U12^2)+(U11^2)+(U10^2)+(U9^2)+(U8^2)+(U7^2)+(U6^2)+(U5^2)+(U4^2)+(U3^2)+(U2^2))</f>
        <v>4.9428368357718648</v>
      </c>
      <c r="X20" s="11">
        <f t="shared" si="14"/>
        <v>1.3036150338267312E-2</v>
      </c>
      <c r="Y20" s="5">
        <f t="shared" si="20"/>
        <v>8.2563466074794326E-3</v>
      </c>
      <c r="Z20" s="5">
        <f t="shared" si="21"/>
        <v>6.8167259302837137E-5</v>
      </c>
      <c r="AA20" s="11">
        <f t="shared" si="7"/>
        <v>167.749998611107</v>
      </c>
      <c r="AB20" s="16">
        <f t="shared" si="17"/>
        <v>0.99953922244434024</v>
      </c>
      <c r="AC20" s="11">
        <f t="shared" si="18"/>
        <v>1.304215987281403E-2</v>
      </c>
    </row>
    <row r="21" spans="1:29" x14ac:dyDescent="0.25">
      <c r="A21" s="27" t="s">
        <v>34</v>
      </c>
      <c r="B21" s="24">
        <v>43327.731366782406</v>
      </c>
      <c r="C21" s="13">
        <v>43333.512499942131</v>
      </c>
      <c r="D21" s="14">
        <v>9.51</v>
      </c>
      <c r="E21" s="5">
        <v>5.99</v>
      </c>
      <c r="F21" s="5">
        <f t="shared" si="8"/>
        <v>0.56964899999999996</v>
      </c>
      <c r="G21" s="11">
        <f t="shared" si="0"/>
        <v>2.0099999999999998</v>
      </c>
      <c r="H21" s="5">
        <f t="shared" si="22"/>
        <v>0.89844220093782334</v>
      </c>
      <c r="I21" s="15">
        <f t="shared" si="9"/>
        <v>138.74719583342085</v>
      </c>
      <c r="J21" s="10">
        <f t="shared" si="10"/>
        <v>1.6666666666666666E-2</v>
      </c>
      <c r="K21" s="11">
        <f t="shared" si="1"/>
        <v>0.79118841172716337</v>
      </c>
      <c r="L21" s="5">
        <f t="shared" si="11"/>
        <v>9.5039567823897977E-5</v>
      </c>
      <c r="M21" s="11">
        <f t="shared" si="2"/>
        <v>1.122160006641538</v>
      </c>
      <c r="N21" s="5">
        <f t="shared" si="3"/>
        <v>0.50159002118291829</v>
      </c>
      <c r="O21" s="11">
        <f t="shared" si="4"/>
        <v>0.88783999335846153</v>
      </c>
      <c r="P21" s="5">
        <f t="shared" si="5"/>
        <v>0.39685222652835206</v>
      </c>
      <c r="Q21" s="11">
        <f t="shared" si="12"/>
        <v>2.0099999999999998</v>
      </c>
      <c r="R21" s="11">
        <v>1.0786999999999995</v>
      </c>
      <c r="S21" s="5">
        <v>1.4142135623731E-4</v>
      </c>
      <c r="T21" s="11">
        <f t="shared" si="6"/>
        <v>1.0402892432015747</v>
      </c>
      <c r="U21" s="5">
        <f t="shared" si="13"/>
        <v>0.46499494090881754</v>
      </c>
      <c r="V21" s="11">
        <f>SUM($T$2:T21)</f>
        <v>755.91527404172928</v>
      </c>
      <c r="W21" s="5">
        <f>SQRT((U21^2)+(U20^2)+(U19^2)+(U18^2)+(U17^2)+(U16^2)+(U15^2)+(U14^2)+(U13^2)+(U12^2)+(U11^2)+(U10^2)+(U9^2)+(U8^2)+(U7^2)+(U6^2)+(U5^2)+(U4^2)+(U3^2)+(U2^2))</f>
        <v>4.964660741695651</v>
      </c>
      <c r="X21" s="11">
        <f t="shared" si="14"/>
        <v>1.8702666777358969E-2</v>
      </c>
      <c r="Y21" s="5">
        <f t="shared" si="20"/>
        <v>8.3598336863819726E-3</v>
      </c>
      <c r="Z21" s="5">
        <f t="shared" si="21"/>
        <v>6.9886819263966808E-5</v>
      </c>
      <c r="AA21" s="11">
        <f t="shared" si="7"/>
        <v>168.29999861115357</v>
      </c>
      <c r="AB21" s="16">
        <f t="shared" si="17"/>
        <v>0.99953771204749697</v>
      </c>
      <c r="AC21" s="11">
        <f t="shared" si="18"/>
        <v>1.8711316793688159E-2</v>
      </c>
    </row>
    <row r="22" spans="1:29" ht="15.75" thickBot="1" x14ac:dyDescent="0.3">
      <c r="A22" s="28" t="s">
        <v>11</v>
      </c>
      <c r="B22" s="24">
        <v>43327.729166608799</v>
      </c>
      <c r="C22" s="13">
        <v>43333.535416608793</v>
      </c>
      <c r="D22" s="14">
        <v>7.5</v>
      </c>
      <c r="E22" s="5">
        <v>6.74</v>
      </c>
      <c r="F22" s="5">
        <f t="shared" si="8"/>
        <v>0.50550000000000006</v>
      </c>
      <c r="G22" s="11">
        <f t="shared" si="0"/>
        <v>0</v>
      </c>
      <c r="H22" s="5">
        <f t="shared" si="22"/>
        <v>0.85920233660355005</v>
      </c>
      <c r="I22" s="15">
        <f>(C22-B22)*24</f>
        <v>139.3499999998603</v>
      </c>
      <c r="J22" s="10">
        <f t="shared" si="10"/>
        <v>1.6666666666666666E-2</v>
      </c>
      <c r="K22" s="11">
        <f t="shared" si="1"/>
        <v>0.79260456762484377</v>
      </c>
      <c r="L22" s="5">
        <f t="shared" si="11"/>
        <v>9.4797819354818606E-5</v>
      </c>
      <c r="M22" s="11">
        <f t="shared" si="2"/>
        <v>0</v>
      </c>
      <c r="N22" s="5" t="e">
        <f t="shared" si="3"/>
        <v>#DIV/0!</v>
      </c>
      <c r="O22" s="11">
        <f t="shared" si="4"/>
        <v>0</v>
      </c>
      <c r="P22" s="5" t="e">
        <f t="shared" si="5"/>
        <v>#DIV/0!</v>
      </c>
      <c r="Q22" s="11">
        <f t="shared" si="12"/>
        <v>0</v>
      </c>
      <c r="R22" s="11"/>
      <c r="S22" s="5">
        <v>1.4142135623731E-4</v>
      </c>
      <c r="T22" s="11"/>
      <c r="U22" s="5" t="e">
        <f t="shared" si="13"/>
        <v>#DIV/0!</v>
      </c>
      <c r="V22" s="11"/>
      <c r="W22" s="11"/>
      <c r="X22" s="11"/>
      <c r="Y22" s="5" t="e">
        <f t="shared" si="20"/>
        <v>#DIV/0!</v>
      </c>
      <c r="Z22" s="5" t="e">
        <f t="shared" si="21"/>
        <v>#DIV/0!</v>
      </c>
      <c r="AA22" s="11"/>
      <c r="AB22" s="11"/>
      <c r="AC22" s="11"/>
    </row>
    <row r="23" spans="1:29" x14ac:dyDescent="0.25">
      <c r="Y23" s="12" t="s">
        <v>53</v>
      </c>
      <c r="Z23" s="2"/>
      <c r="AB23" s="2"/>
      <c r="AC23">
        <f>SUM(AC2:AC21)</f>
        <v>10.21776316910135</v>
      </c>
    </row>
    <row r="24" spans="1:29" x14ac:dyDescent="0.25">
      <c r="W24" s="6" t="s">
        <v>54</v>
      </c>
      <c r="X24" s="2">
        <f>SUM(X2:X21)</f>
        <v>10.213224939561682</v>
      </c>
      <c r="Y24" s="6">
        <f>SQRT(SUM(Z2:Z21))</f>
        <v>6.7551869639807166E-2</v>
      </c>
    </row>
    <row r="27" spans="1:29" x14ac:dyDescent="0.25">
      <c r="G27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CT30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2018-07-17T15:27:47Z</dcterms:created>
  <dcterms:modified xsi:type="dcterms:W3CDTF">2021-06-16T16:52:38Z</dcterms:modified>
</cp:coreProperties>
</file>